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88" yWindow="540" windowWidth="18876" windowHeight="6996" firstSheet="2" activeTab="6"/>
  </bookViews>
  <sheets>
    <sheet name="Ресурсы" sheetId="1" r:id="rId1"/>
    <sheet name="Объем рынка" sheetId="2" r:id="rId2"/>
    <sheet name="Данные" sheetId="3" r:id="rId3"/>
    <sheet name="Бюджет инвестиций" sheetId="4" r:id="rId4"/>
    <sheet name="Расчет себестоимости" sheetId="5" r:id="rId5"/>
    <sheet name="План продаж" sheetId="6" r:id="rId6"/>
    <sheet name="БДР + эффективность" sheetId="7" r:id="rId7"/>
  </sheets>
  <externalReferences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F216" i="7" l="1"/>
  <c r="M24" i="7"/>
  <c r="N24" i="7" s="1"/>
  <c r="O24" i="7" s="1"/>
  <c r="P24" i="7" s="1"/>
  <c r="Q24" i="7" s="1"/>
  <c r="R24" i="7" s="1"/>
  <c r="S24" i="7" s="1"/>
  <c r="T24" i="7" s="1"/>
  <c r="U24" i="7" s="1"/>
  <c r="V24" i="7" s="1"/>
  <c r="K24" i="7"/>
  <c r="L24" i="7" s="1"/>
  <c r="J24" i="7"/>
  <c r="I24" i="7"/>
  <c r="H24" i="7"/>
  <c r="G24" i="7"/>
  <c r="F24" i="7"/>
  <c r="E24" i="7"/>
  <c r="D24" i="7"/>
  <c r="C24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S21" i="7"/>
  <c r="T21" i="7"/>
  <c r="U21" i="7"/>
  <c r="V21" i="7"/>
  <c r="P21" i="7"/>
  <c r="Q21" i="7"/>
  <c r="R21" i="7"/>
  <c r="O21" i="7"/>
  <c r="N21" i="7"/>
  <c r="K21" i="7"/>
  <c r="L21" i="7"/>
  <c r="M21" i="7"/>
  <c r="G21" i="7"/>
  <c r="H21" i="7"/>
  <c r="I21" i="7"/>
  <c r="J21" i="7"/>
  <c r="F21" i="7"/>
  <c r="C21" i="7"/>
  <c r="D21" i="7"/>
  <c r="E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C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D17" i="7"/>
  <c r="X10" i="7"/>
  <c r="C15" i="7" s="1"/>
  <c r="C14" i="7"/>
  <c r="C23" i="7"/>
  <c r="B219" i="7"/>
  <c r="J217" i="7"/>
  <c r="B20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F10" i="7"/>
  <c r="V9" i="7"/>
  <c r="U9" i="7"/>
  <c r="T9" i="7"/>
  <c r="S9" i="7"/>
  <c r="R9" i="7"/>
  <c r="Q9" i="7"/>
  <c r="P9" i="7"/>
  <c r="O9" i="7"/>
  <c r="G9" i="7"/>
  <c r="H9" i="7"/>
  <c r="I9" i="7"/>
  <c r="J9" i="7"/>
  <c r="K9" i="7"/>
  <c r="L9" i="7"/>
  <c r="M9" i="7"/>
  <c r="N9" i="7"/>
  <c r="F9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F8" i="7"/>
  <c r="C8" i="7"/>
  <c r="C121" i="7"/>
  <c r="D121" i="7"/>
  <c r="E121" i="7"/>
  <c r="F121" i="7"/>
  <c r="G121" i="7"/>
  <c r="H121" i="7"/>
  <c r="I121" i="7"/>
  <c r="J121" i="7"/>
  <c r="K121" i="7"/>
  <c r="L121" i="7"/>
  <c r="M121" i="7"/>
  <c r="B121" i="7"/>
  <c r="C101" i="7"/>
  <c r="D101" i="7"/>
  <c r="E101" i="7"/>
  <c r="F101" i="7"/>
  <c r="G101" i="7"/>
  <c r="H101" i="7"/>
  <c r="I101" i="7"/>
  <c r="J101" i="7"/>
  <c r="K101" i="7"/>
  <c r="L101" i="7"/>
  <c r="M101" i="7"/>
  <c r="B101" i="7"/>
  <c r="C80" i="7"/>
  <c r="D80" i="7"/>
  <c r="E80" i="7"/>
  <c r="F80" i="7"/>
  <c r="G80" i="7"/>
  <c r="H80" i="7"/>
  <c r="I80" i="7"/>
  <c r="J80" i="7"/>
  <c r="K80" i="7"/>
  <c r="B80" i="7"/>
  <c r="B209" i="7"/>
  <c r="B208" i="7"/>
  <c r="C25" i="7"/>
  <c r="C12" i="7"/>
  <c r="C13" i="7"/>
  <c r="C19" i="7"/>
  <c r="D222" i="7"/>
  <c r="J218" i="7"/>
  <c r="J215" i="7"/>
  <c r="F218" i="7"/>
  <c r="F217" i="7"/>
  <c r="B218" i="7"/>
  <c r="B217" i="7"/>
  <c r="E200" i="7"/>
  <c r="D200" i="7"/>
  <c r="C200" i="7"/>
  <c r="B199" i="7"/>
  <c r="F34" i="7"/>
  <c r="G34" i="7"/>
  <c r="F35" i="7"/>
  <c r="F46" i="7" s="1"/>
  <c r="G35" i="7"/>
  <c r="G46" i="7" s="1"/>
  <c r="F36" i="7"/>
  <c r="G36" i="7"/>
  <c r="F37" i="7"/>
  <c r="G37" i="7"/>
  <c r="E38" i="7"/>
  <c r="F38" i="7"/>
  <c r="G38" i="7"/>
  <c r="E39" i="7"/>
  <c r="E46" i="7" s="1"/>
  <c r="F39" i="7"/>
  <c r="G39" i="7"/>
  <c r="E40" i="7"/>
  <c r="F40" i="7"/>
  <c r="G40" i="7"/>
  <c r="E41" i="7"/>
  <c r="F41" i="7"/>
  <c r="G41" i="7"/>
  <c r="E42" i="7"/>
  <c r="F42" i="7"/>
  <c r="G42" i="7"/>
  <c r="E43" i="7"/>
  <c r="F43" i="7"/>
  <c r="G43" i="7"/>
  <c r="E44" i="7"/>
  <c r="F44" i="7"/>
  <c r="G44" i="7"/>
  <c r="E45" i="7"/>
  <c r="F45" i="7"/>
  <c r="G45" i="7"/>
  <c r="Y10" i="7" l="1"/>
  <c r="C16" i="7" s="1"/>
  <c r="C159" i="7" l="1"/>
  <c r="T155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U155" i="7" s="1"/>
  <c r="D155" i="7"/>
  <c r="C155" i="7"/>
  <c r="C156" i="7" s="1"/>
  <c r="U154" i="7"/>
  <c r="U153" i="7"/>
  <c r="U152" i="7"/>
  <c r="U151" i="7"/>
  <c r="U150" i="7"/>
  <c r="U149" i="7"/>
  <c r="C145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U144" i="7" s="1"/>
  <c r="C144" i="7"/>
  <c r="D145" i="7" s="1"/>
  <c r="E145" i="7" s="1"/>
  <c r="F145" i="7" s="1"/>
  <c r="G145" i="7" s="1"/>
  <c r="H145" i="7" s="1"/>
  <c r="I145" i="7" s="1"/>
  <c r="J145" i="7" s="1"/>
  <c r="K145" i="7" s="1"/>
  <c r="L145" i="7" s="1"/>
  <c r="M145" i="7" s="1"/>
  <c r="N145" i="7" s="1"/>
  <c r="O145" i="7" s="1"/>
  <c r="P145" i="7" s="1"/>
  <c r="Q145" i="7" s="1"/>
  <c r="R145" i="7" s="1"/>
  <c r="S145" i="7" s="1"/>
  <c r="T145" i="7" s="1"/>
  <c r="U143" i="7"/>
  <c r="U142" i="7"/>
  <c r="U141" i="7"/>
  <c r="U140" i="7"/>
  <c r="U139" i="7"/>
  <c r="U138" i="7"/>
  <c r="U137" i="7"/>
  <c r="U136" i="7"/>
  <c r="U135" i="7"/>
  <c r="U134" i="7"/>
  <c r="U133" i="7"/>
  <c r="U132" i="7"/>
  <c r="U131" i="7"/>
  <c r="U130" i="7"/>
  <c r="C158" i="7" l="1"/>
  <c r="D159" i="7" s="1"/>
  <c r="D156" i="7"/>
  <c r="D158" i="7" l="1"/>
  <c r="E159" i="7" s="1"/>
  <c r="E156" i="7"/>
  <c r="E158" i="7" l="1"/>
  <c r="F159" i="7" s="1"/>
  <c r="F156" i="7"/>
  <c r="G156" i="7" l="1"/>
  <c r="F158" i="7"/>
  <c r="G159" i="7" s="1"/>
  <c r="G158" i="7" l="1"/>
  <c r="H159" i="7" s="1"/>
  <c r="H156" i="7"/>
  <c r="H158" i="7" l="1"/>
  <c r="I159" i="7" s="1"/>
  <c r="I156" i="7"/>
  <c r="I158" i="7" l="1"/>
  <c r="J159" i="7" s="1"/>
  <c r="J156" i="7"/>
  <c r="K156" i="7" l="1"/>
  <c r="J158" i="7"/>
  <c r="K159" i="7" s="1"/>
  <c r="K158" i="7" l="1"/>
  <c r="L159" i="7" s="1"/>
  <c r="L156" i="7"/>
  <c r="L158" i="7" l="1"/>
  <c r="M159" i="7" s="1"/>
  <c r="M156" i="7"/>
  <c r="M158" i="7" l="1"/>
  <c r="N159" i="7" s="1"/>
  <c r="N156" i="7"/>
  <c r="O156" i="7" l="1"/>
  <c r="N158" i="7"/>
  <c r="O159" i="7" s="1"/>
  <c r="O158" i="7" l="1"/>
  <c r="P159" i="7" s="1"/>
  <c r="P156" i="7"/>
  <c r="P158" i="7" l="1"/>
  <c r="Q159" i="7" s="1"/>
  <c r="Q156" i="7"/>
  <c r="Q158" i="7" l="1"/>
  <c r="R159" i="7" s="1"/>
  <c r="R156" i="7"/>
  <c r="S156" i="7" l="1"/>
  <c r="R158" i="7"/>
  <c r="S159" i="7" s="1"/>
  <c r="K69" i="7"/>
  <c r="J69" i="7"/>
  <c r="I69" i="7"/>
  <c r="H69" i="7"/>
  <c r="G69" i="7"/>
  <c r="F69" i="7"/>
  <c r="E69" i="7"/>
  <c r="D69" i="7"/>
  <c r="C66" i="7"/>
  <c r="S158" i="7" l="1"/>
  <c r="T159" i="7" s="1"/>
  <c r="T156" i="7"/>
  <c r="T158" i="7" s="1"/>
  <c r="C9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M89" i="7"/>
  <c r="M98" i="7" s="1"/>
  <c r="M90" i="7" s="1"/>
  <c r="L89" i="7"/>
  <c r="L98" i="7" s="1"/>
  <c r="L90" i="7" s="1"/>
  <c r="K89" i="7"/>
  <c r="K98" i="7" s="1"/>
  <c r="K90" i="7" s="1"/>
  <c r="J89" i="7"/>
  <c r="J98" i="7" s="1"/>
  <c r="J90" i="7" s="1"/>
  <c r="I89" i="7"/>
  <c r="I98" i="7" s="1"/>
  <c r="I90" i="7" s="1"/>
  <c r="H89" i="7"/>
  <c r="H98" i="7" s="1"/>
  <c r="H90" i="7" s="1"/>
  <c r="G89" i="7"/>
  <c r="G98" i="7" s="1"/>
  <c r="G90" i="7" s="1"/>
  <c r="F89" i="7"/>
  <c r="F98" i="7" s="1"/>
  <c r="F90" i="7" s="1"/>
  <c r="E89" i="7"/>
  <c r="E98" i="7" s="1"/>
  <c r="E90" i="7" s="1"/>
  <c r="D89" i="7"/>
  <c r="D98" i="7" s="1"/>
  <c r="D90" i="7" s="1"/>
  <c r="C89" i="7"/>
  <c r="C98" i="7" s="1"/>
  <c r="C90" i="7" s="1"/>
  <c r="B89" i="7"/>
  <c r="B98" i="7" s="1"/>
  <c r="B90" i="7" s="1"/>
  <c r="K77" i="7"/>
  <c r="H77" i="7"/>
  <c r="G77" i="7"/>
  <c r="D77" i="7"/>
  <c r="D70" i="7" s="1"/>
  <c r="K75" i="7"/>
  <c r="J75" i="7"/>
  <c r="I75" i="7"/>
  <c r="H75" i="7"/>
  <c r="G75" i="7"/>
  <c r="F75" i="7"/>
  <c r="E75" i="7"/>
  <c r="D75" i="7"/>
  <c r="K74" i="7"/>
  <c r="K70" i="7" s="1"/>
  <c r="J74" i="7"/>
  <c r="I74" i="7"/>
  <c r="H74" i="7"/>
  <c r="G74" i="7"/>
  <c r="F74" i="7"/>
  <c r="E74" i="7"/>
  <c r="D74" i="7"/>
  <c r="C74" i="7"/>
  <c r="C70" i="7" s="1"/>
  <c r="C79" i="7" s="1"/>
  <c r="H70" i="7"/>
  <c r="J77" i="7"/>
  <c r="J70" i="7" s="1"/>
  <c r="I66" i="7"/>
  <c r="F77" i="7"/>
  <c r="F70" i="7" s="1"/>
  <c r="E66" i="7"/>
  <c r="K66" i="7"/>
  <c r="H66" i="7"/>
  <c r="G66" i="7"/>
  <c r="V7" i="7"/>
  <c r="U7" i="7"/>
  <c r="T7" i="7"/>
  <c r="S7" i="7"/>
  <c r="R7" i="7"/>
  <c r="Q7" i="7"/>
  <c r="P7" i="7"/>
  <c r="O7" i="7"/>
  <c r="D7" i="7"/>
  <c r="E7" i="7"/>
  <c r="F7" i="7"/>
  <c r="G7" i="7"/>
  <c r="H7" i="7"/>
  <c r="I7" i="7"/>
  <c r="J7" i="7"/>
  <c r="K7" i="7"/>
  <c r="L7" i="7"/>
  <c r="M7" i="7"/>
  <c r="N7" i="7"/>
  <c r="C7" i="7"/>
  <c r="D6" i="7"/>
  <c r="E6" i="7"/>
  <c r="F6" i="7"/>
  <c r="G6" i="7"/>
  <c r="H6" i="7"/>
  <c r="I6" i="7"/>
  <c r="J6" i="7"/>
  <c r="K6" i="7"/>
  <c r="L6" i="7"/>
  <c r="M6" i="7"/>
  <c r="N6" i="7"/>
  <c r="O6" i="7" s="1"/>
  <c r="P6" i="7" s="1"/>
  <c r="Q6" i="7" s="1"/>
  <c r="R6" i="7" s="1"/>
  <c r="S6" i="7" s="1"/>
  <c r="T6" i="7" s="1"/>
  <c r="U6" i="7" s="1"/>
  <c r="V6" i="7" s="1"/>
  <c r="C6" i="7"/>
  <c r="E4" i="7"/>
  <c r="D4" i="7"/>
  <c r="C4" i="7"/>
  <c r="N4" i="7"/>
  <c r="R4" i="7"/>
  <c r="M4" i="7"/>
  <c r="L4" i="7"/>
  <c r="K4" i="7"/>
  <c r="J4" i="7"/>
  <c r="I4" i="7"/>
  <c r="H4" i="7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C53" i="5"/>
  <c r="C39" i="5"/>
  <c r="C24" i="5"/>
  <c r="H24" i="5"/>
  <c r="H12" i="5"/>
  <c r="C12" i="5"/>
  <c r="F4" i="5"/>
  <c r="D79" i="7" l="1"/>
  <c r="G70" i="7"/>
  <c r="E77" i="7"/>
  <c r="E70" i="7" s="1"/>
  <c r="E79" i="7" s="1"/>
  <c r="I77" i="7"/>
  <c r="I70" i="7" s="1"/>
  <c r="F66" i="7"/>
  <c r="J66" i="7"/>
  <c r="S4" i="7"/>
  <c r="T4" i="7" s="1"/>
  <c r="U4" i="7" s="1"/>
  <c r="V4" i="7" s="1"/>
  <c r="P4" i="7"/>
  <c r="Q4" i="7"/>
  <c r="G4" i="7"/>
  <c r="O4" i="7"/>
  <c r="K5" i="2"/>
  <c r="K6" i="2"/>
  <c r="K4" i="2"/>
  <c r="J5" i="2"/>
  <c r="J6" i="2"/>
  <c r="J4" i="2"/>
  <c r="G6" i="2"/>
  <c r="G5" i="2"/>
  <c r="G4" i="2"/>
  <c r="D5" i="2"/>
  <c r="D6" i="2"/>
  <c r="D4" i="2"/>
  <c r="F79" i="7" l="1"/>
  <c r="G79" i="7" s="1"/>
  <c r="H79" i="7" s="1"/>
  <c r="I79" i="7" s="1"/>
  <c r="J79" i="7" s="1"/>
  <c r="K79" i="7" s="1"/>
  <c r="B99" i="7" s="1"/>
  <c r="B100" i="7" s="1"/>
  <c r="C100" i="7" s="1"/>
  <c r="D100" i="7" s="1"/>
  <c r="E100" i="7" s="1"/>
  <c r="F100" i="7" s="1"/>
  <c r="G100" i="7" s="1"/>
  <c r="H100" i="7" s="1"/>
  <c r="I100" i="7" s="1"/>
  <c r="J100" i="7" s="1"/>
  <c r="K100" i="7" s="1"/>
  <c r="L100" i="7" s="1"/>
  <c r="M100" i="7" s="1"/>
  <c r="B119" i="7" s="1"/>
  <c r="B120" i="7" s="1"/>
  <c r="C120" i="7" s="1"/>
  <c r="D120" i="7" s="1"/>
  <c r="E120" i="7" s="1"/>
  <c r="F120" i="7" s="1"/>
  <c r="G120" i="7" s="1"/>
  <c r="H120" i="7" s="1"/>
  <c r="I120" i="7" s="1"/>
  <c r="J120" i="7" s="1"/>
  <c r="K120" i="7" s="1"/>
  <c r="L120" i="7" s="1"/>
  <c r="M120" i="7" s="1"/>
  <c r="B210" i="7"/>
  <c r="C26" i="7" s="1"/>
</calcChain>
</file>

<file path=xl/sharedStrings.xml><?xml version="1.0" encoding="utf-8"?>
<sst xmlns="http://schemas.openxmlformats.org/spreadsheetml/2006/main" count="649" uniqueCount="359">
  <si>
    <t>Доступные ресурсы</t>
  </si>
  <si>
    <t>Материальные ресурсы</t>
  </si>
  <si>
    <t>Информационные ресурсы</t>
  </si>
  <si>
    <t>Трудовые ресурсы</t>
  </si>
  <si>
    <t>Финансовые ресурсы</t>
  </si>
  <si>
    <t>Необходимые для реализации ресурсы</t>
  </si>
  <si>
    <t>Способ получения</t>
  </si>
  <si>
    <t>Объем рынка</t>
  </si>
  <si>
    <t>Потенциальный</t>
  </si>
  <si>
    <t>Фактический</t>
  </si>
  <si>
    <t>Доступный</t>
  </si>
  <si>
    <t>Факторы и показатели</t>
  </si>
  <si>
    <t>В количественном выражении – единицы продукции</t>
  </si>
  <si>
    <t>В денежном выражении – в денежных единицах</t>
  </si>
  <si>
    <t>В объемном – баррель, метр</t>
  </si>
  <si>
    <t>Для КЗ потом убрать</t>
  </si>
  <si>
    <t>Период</t>
  </si>
  <si>
    <t>Описание</t>
  </si>
  <si>
    <t>Границы рынка</t>
  </si>
  <si>
    <t>За какой период будет рассчитана емкость рынка (месяц, квартал, полугодие, год), в том числе год?</t>
  </si>
  <si>
    <t>Критерии для расчета потенциала</t>
  </si>
  <si>
    <t>По какому региону будет рассчитана доля рынка (США, Россия, Западная Европа, Азия, Дальний Восток и т.п.)?</t>
  </si>
  <si>
    <t>Аудитория</t>
  </si>
  <si>
    <t>Какой показатель будет взят за основу расчета потенциальной емкости рынка – возможный уровень производства или возможный уровень потребления?</t>
  </si>
  <si>
    <t>Товарные группы</t>
  </si>
  <si>
    <t>Какая аудитория будет учитываться в расчете емкости рынка (все население 18+, женщины 35-55 со средним уровнем дохода, все люди в возрасте от 55 лет, молодые семьи и т.д.)?</t>
  </si>
  <si>
    <t>Единица измерения</t>
  </si>
  <si>
    <t>Какие группы товаров будут учитываться при расчете емкости рынка (на примере рынка автомобилей – только автомобили или автомобили+запчасти или автомобили+запчасти+услуги сервиса)?</t>
  </si>
  <si>
    <t>Источники</t>
  </si>
  <si>
    <t>Что будет являться единицей измерения при расчете емкости рынка (валюта, единица продукции или объем продукции)?</t>
  </si>
  <si>
    <t>...</t>
  </si>
  <si>
    <t>Какая информация необходима для расчета емкости рынка, источники получения данной информации?</t>
  </si>
  <si>
    <t>Пояснения и обоснования (при необходимости)</t>
  </si>
  <si>
    <t>ОКВЭД</t>
  </si>
  <si>
    <t>ВЭД</t>
  </si>
  <si>
    <t>Сборы за сопровождение</t>
  </si>
  <si>
    <t>Пошлины</t>
  </si>
  <si>
    <t>НДС и акцизы</t>
  </si>
  <si>
    <t>Организационно-правовая форма</t>
  </si>
  <si>
    <t>Лицензирование/сертификация/
аккредитация деятельности</t>
  </si>
  <si>
    <t>Расходы на обеспечение денежного оборота (банковское обслуживание, обслуживание расчетного счета и т д...)</t>
  </si>
  <si>
    <t>Расходы на бухгалтерский учет</t>
  </si>
  <si>
    <t>Расходы на ККТ</t>
  </si>
  <si>
    <t>Налоговые ставки</t>
  </si>
  <si>
    <t>Налоговые льготы</t>
  </si>
  <si>
    <t>Величины страховых взносов</t>
  </si>
  <si>
    <t>Ставка дисконтирования</t>
  </si>
  <si>
    <t>Наименование</t>
  </si>
  <si>
    <t>Количество</t>
  </si>
  <si>
    <t>Цена за 1 ед.</t>
  </si>
  <si>
    <t>Стоимость</t>
  </si>
  <si>
    <t>ИТОГО:</t>
  </si>
  <si>
    <t>Наименование товара/услуги</t>
  </si>
  <si>
    <t>Прямые издержки</t>
  </si>
  <si>
    <t>Косвенные издержки</t>
  </si>
  <si>
    <t>Затраты, руб.</t>
  </si>
  <si>
    <t>Товар 1</t>
  </si>
  <si>
    <t>Модель кулькуляции</t>
  </si>
  <si>
    <t>Себестоимость</t>
  </si>
  <si>
    <t>Цена</t>
  </si>
  <si>
    <t>Маржинальность</t>
  </si>
  <si>
    <t>Товар 2</t>
  </si>
  <si>
    <t>Объемы продаж, ед.</t>
  </si>
  <si>
    <t>1 год</t>
  </si>
  <si>
    <t>2 год</t>
  </si>
  <si>
    <t>3 год</t>
  </si>
  <si>
    <t>1 кв</t>
  </si>
  <si>
    <t>2 кв</t>
  </si>
  <si>
    <t>3 кв</t>
  </si>
  <si>
    <t>4 кв</t>
  </si>
  <si>
    <t>Доходы, руб.</t>
  </si>
  <si>
    <t>Расходы, руб.</t>
  </si>
  <si>
    <t>Постоянные</t>
  </si>
  <si>
    <t>Переменные</t>
  </si>
  <si>
    <t>EBIT</t>
  </si>
  <si>
    <t>Налог</t>
  </si>
  <si>
    <t>Прибыль, руб.</t>
  </si>
  <si>
    <t>Точка безубыточности в количественном выражении</t>
  </si>
  <si>
    <t>ТБ, ед.</t>
  </si>
  <si>
    <t>Точка безубыточности в стоимостном выражении</t>
  </si>
  <si>
    <t>ТБ, руб.</t>
  </si>
  <si>
    <t>Инвестиции</t>
  </si>
  <si>
    <t>Чистая стоимость проекта = сумма прибыли и инвестиций за весь период реализации.</t>
  </si>
  <si>
    <t>NV</t>
  </si>
  <si>
    <t>Средняя величина доходности проекта = средняя прибыль/сумма инвестиций</t>
  </si>
  <si>
    <t>ARR</t>
  </si>
  <si>
    <t>Сумма всей прибыли и всех инвестиций нарастающим итогом</t>
  </si>
  <si>
    <t>Нарастающий денежный поток</t>
  </si>
  <si>
    <t>Период окупаемости</t>
  </si>
  <si>
    <t>PP</t>
  </si>
  <si>
    <t>Индекс доходности = NV/I</t>
  </si>
  <si>
    <t>PI</t>
  </si>
  <si>
    <r>
      <rPr>
        <i/>
        <sz val="9"/>
        <color theme="1"/>
        <rFont val="Calibri"/>
      </rPr>
      <t>K</t>
    </r>
    <r>
      <rPr>
        <i/>
        <vertAlign val="subscript"/>
        <sz val="9"/>
        <color theme="1"/>
        <rFont val="Calibri"/>
      </rPr>
      <t>d</t>
    </r>
    <r>
      <rPr>
        <i/>
        <sz val="9"/>
        <color theme="1"/>
        <rFont val="Calibri"/>
      </rPr>
      <t>=1/(1+r/p)</t>
    </r>
    <r>
      <rPr>
        <i/>
        <vertAlign val="superscript"/>
        <sz val="9"/>
        <color theme="1"/>
        <rFont val="Calibri"/>
      </rPr>
      <t xml:space="preserve">n
</t>
    </r>
    <r>
      <rPr>
        <i/>
        <sz val="9"/>
        <color theme="1"/>
        <rFont val="Calibri"/>
      </rPr>
      <t>r - ставка дисконтирования,
p - количество периодов, на которые вы делите год в своих расчетах. Например r/12 для расчета на каждый месяц, r/4 для расчета по кварталам.
n - номер периода, где 0 - стартовый период запуска проекта, на котором привлекаются инвестиции.</t>
    </r>
  </si>
  <si>
    <t>Коэффициент дисконтирования</t>
  </si>
  <si>
    <t>=Прибыль*Коэффициент дисконтирования</t>
  </si>
  <si>
    <t>Дисконтированная прибыль</t>
  </si>
  <si>
    <t>=Инвестиции*Коэффициент дисконтирования</t>
  </si>
  <si>
    <t>Дисконтированные инвестиции</t>
  </si>
  <si>
    <t>Сумма всей дисконтированной прибыли и всех дисконтированных инвестиций нарастающим итогом</t>
  </si>
  <si>
    <t>Нарастающий дисконтированный денежный поток</t>
  </si>
  <si>
    <t>NPV - чистая приведенная стоимость проекта = сумма дисконтированной прибыли и дисконтированных инвестиций за весь период реализации.</t>
  </si>
  <si>
    <t>NPV</t>
  </si>
  <si>
    <t>IRR - внутренняя норма доходности = ВСД(нарастающие дисконтированные денежные потоки за все периоды)</t>
  </si>
  <si>
    <t>IRR</t>
  </si>
  <si>
    <t xml:space="preserve">Дисконтированный период окупаемости </t>
  </si>
  <si>
    <t>DPP</t>
  </si>
  <si>
    <t>85.41.9</t>
  </si>
  <si>
    <t>ИП</t>
  </si>
  <si>
    <t>-</t>
  </si>
  <si>
    <t>250 руб./мес.</t>
  </si>
  <si>
    <t>6000 руб./мес.</t>
  </si>
  <si>
    <t>УСН 6%</t>
  </si>
  <si>
    <t>19805,9 руб./мес. на работников 3600,9 руб./мес. на ИП</t>
  </si>
  <si>
    <t>Группы в социальных сетях</t>
  </si>
  <si>
    <t>Сайт ОУ</t>
  </si>
  <si>
    <t>Администратор (1чел) - 13890 руб/мес</t>
  </si>
  <si>
    <t>Маркетолог + IT (1чел) -13890 руб/мес</t>
  </si>
  <si>
    <t>имеющиеся средства - 138000руб.</t>
  </si>
  <si>
    <t xml:space="preserve"> </t>
  </si>
  <si>
    <t>покупка</t>
  </si>
  <si>
    <t>Ресепшн (1шт.) - 10000</t>
  </si>
  <si>
    <t>Диван (1шт) - 15 000руб</t>
  </si>
  <si>
    <t>Компьютер (4шт) - 80 000 руб</t>
  </si>
  <si>
    <t>МФУ (1шт) - 7000 руб</t>
  </si>
  <si>
    <t>Wi-fi роутер (1шт) - 1500 руб</t>
  </si>
  <si>
    <t>Кулер (2шт) - 2000 руб</t>
  </si>
  <si>
    <t>Стеллаж (2шт) - 5000 руб</t>
  </si>
  <si>
    <t>Интерактивная доска (2шт) - 200000 руб</t>
  </si>
  <si>
    <t>Стулья (6шт) - 4200 руб</t>
  </si>
  <si>
    <t>Парты (6шт) – 15000 руб</t>
  </si>
  <si>
    <t>Учебная программа (3 шт) - 150000руб.</t>
  </si>
  <si>
    <t>заказ</t>
  </si>
  <si>
    <t>Брендирование - 20000руб.</t>
  </si>
  <si>
    <t>Реклама -таргетированная реклама в ВК, контекстная реклама в браузерах - 30000</t>
  </si>
  <si>
    <t xml:space="preserve">Бухгалтерия </t>
  </si>
  <si>
    <t>аутсорсинг: «Бухгалтерия для ИП» Сбербанк) - 250 руб/мес</t>
  </si>
  <si>
    <t>Преподаватель (2чел) - 50000 руб/мес</t>
  </si>
  <si>
    <t>нанимать Договор ГПХ</t>
  </si>
  <si>
    <t>кредит Сбербанк (ежемесячная выплата 21053)</t>
  </si>
  <si>
    <t xml:space="preserve"> 17% + 1% + 3% + 1% + 1% = 23%.</t>
  </si>
  <si>
    <t>Ресепшн</t>
  </si>
  <si>
    <t>Диван</t>
  </si>
  <si>
    <t>Компьютер</t>
  </si>
  <si>
    <t>МФУ</t>
  </si>
  <si>
    <t>Wi-fi роутер</t>
  </si>
  <si>
    <t>Кулер</t>
  </si>
  <si>
    <t>Стеллаж</t>
  </si>
  <si>
    <t>Интерактивная доска</t>
  </si>
  <si>
    <t>Стулья</t>
  </si>
  <si>
    <t>Парты</t>
  </si>
  <si>
    <t>Учебная программа</t>
  </si>
  <si>
    <t>Сайты ОУ</t>
  </si>
  <si>
    <t xml:space="preserve">Реклама </t>
  </si>
  <si>
    <t>Брендирование</t>
  </si>
  <si>
    <t>Факторы и показатели проекта "Тайфун"</t>
  </si>
  <si>
    <t>Месяц</t>
  </si>
  <si>
    <t>Среднедневная численность, чел.</t>
  </si>
  <si>
    <t>Выручка, руб.</t>
  </si>
  <si>
    <t>2022г</t>
  </si>
  <si>
    <t>2023г</t>
  </si>
  <si>
    <t>2024г</t>
  </si>
  <si>
    <t xml:space="preserve">Январь </t>
  </si>
  <si>
    <t xml:space="preserve">Февраль </t>
  </si>
  <si>
    <t>Март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</si>
  <si>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</si>
  <si>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</si>
  <si>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</si>
  <si>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</si>
  <si>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</si>
  <si>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</si>
  <si>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</si>
  <si>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</si>
  <si>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</si>
  <si>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 xml:space="preserve">Итого </t>
  </si>
  <si>
    <t>январь 2022 -  декабрь 2024</t>
  </si>
  <si>
    <t>2 учебных класса, 5 дней в неделю,  5 академических часов, 6 человек в группе</t>
  </si>
  <si>
    <t>1.Базовый курс
2.Углубленное изучение
3.Профессиональные курсы
4.Проведение индивидуальных занятий</t>
  </si>
  <si>
    <t>1)Обучающиеся (школьники и студенты г. Брянска, дошкольники), 2)Люди с ограниченными возможностями, 3)Работающие люди, 4)Пенсионеры и военные пенсионеры</t>
  </si>
  <si>
    <t>Брянская область</t>
  </si>
  <si>
    <t>чел</t>
  </si>
  <si>
    <t>2632500 руб.- за 2022г</t>
  </si>
  <si>
    <t>9009000 руб - за 2023г</t>
  </si>
  <si>
    <t>9828000 руб - за 2024г</t>
  </si>
  <si>
    <t>Образование дополнительное детей и взрослых прочее, не включенное в другие группировки</t>
  </si>
  <si>
    <t>Физическое лицо</t>
  </si>
  <si>
    <t>https://www.sberbank.ru/ru/s_m_business/bankingservice/rko/tariffs</t>
  </si>
  <si>
    <t>https://sber-solutions.ru/services/buhgalteriya-ip</t>
  </si>
  <si>
    <t xml:space="preserve">БСЦБ – учетная ставка Центробанка;
Ро – риски, свойственные для определенных отраслей
Рс – риск конкретной страны, где предусматривается внедрение проекта; 
Рн – риск возможной низкой стоимости (неликвидности) начинания; 
Ру – риск от недостаточно качественного менеджмента. </t>
  </si>
  <si>
    <t>Таблица 7 – Время работы танцевальной студии  «Тайфун»                                                         преподаватель 1</t>
  </si>
  <si>
    <t>время</t>
  </si>
  <si>
    <t>пн</t>
  </si>
  <si>
    <t>вт</t>
  </si>
  <si>
    <t>ср</t>
  </si>
  <si>
    <t>чт</t>
  </si>
  <si>
    <t>сб</t>
  </si>
  <si>
    <t>вс</t>
  </si>
  <si>
    <t>9:00 — 10:00</t>
  </si>
  <si>
    <t xml:space="preserve">10.30 - 11.30 </t>
  </si>
  <si>
    <t>12:00 — 13:00</t>
  </si>
  <si>
    <t>14:00 — 15:00</t>
  </si>
  <si>
    <t>15:30 — 16:30</t>
  </si>
  <si>
    <t>17:00 — 18:00</t>
  </si>
  <si>
    <t>преподаватель 2</t>
  </si>
  <si>
    <t>Время</t>
  </si>
  <si>
    <t>Пн</t>
  </si>
  <si>
    <t>пт</t>
  </si>
  <si>
    <t>Сб</t>
  </si>
  <si>
    <t>11:00 – 12:00</t>
  </si>
  <si>
    <t>12:30 — 13:30</t>
  </si>
  <si>
    <t>16:00 — 17:00</t>
  </si>
  <si>
    <t>17:30 — 18:30</t>
  </si>
  <si>
    <t>19:00 —20:00</t>
  </si>
  <si>
    <t>Таблица 16 – Ценообразование студии «Тайфун»</t>
  </si>
  <si>
    <t>Услуги</t>
  </si>
  <si>
    <t>Объем услуг, в месяц, ед.</t>
  </si>
  <si>
    <t>Себестоимость 1 часа, руб.</t>
  </si>
  <si>
    <t>Наценка на единицу, %</t>
  </si>
  <si>
    <t>Средняя цена конкурентов, руб.</t>
  </si>
  <si>
    <t>Итоговая цена час/руб.</t>
  </si>
  <si>
    <t>Базовый курс</t>
  </si>
  <si>
    <t>14*4=56</t>
  </si>
  <si>
    <t>250руб</t>
  </si>
  <si>
    <t>450руб</t>
  </si>
  <si>
    <t>Углубленное изучение</t>
  </si>
  <si>
    <t>9*4</t>
  </si>
  <si>
    <t>500руб</t>
  </si>
  <si>
    <t>Профессиональные курсы</t>
  </si>
  <si>
    <t>7*4</t>
  </si>
  <si>
    <t>700руб.</t>
  </si>
  <si>
    <t>Проведение индивидуальных занятий</t>
  </si>
  <si>
    <t>6*4</t>
  </si>
  <si>
    <t>800руб</t>
  </si>
  <si>
    <t>2.Углубленное изучение</t>
  </si>
  <si>
    <t>Товар 3</t>
  </si>
  <si>
    <t>3.Профессиональные курсы</t>
  </si>
  <si>
    <t>Товар 4</t>
  </si>
  <si>
    <t xml:space="preserve">
</t>
  </si>
  <si>
    <t>4.Проведение индивидуальных занятий</t>
  </si>
  <si>
    <t>1.Базовый курс - оплата труда педагога</t>
  </si>
  <si>
    <t>Коммерческие издержки</t>
  </si>
  <si>
    <t>затраты + торговая наценка 21,6%</t>
  </si>
  <si>
    <t>затраты + торговая наценка +35,1%</t>
  </si>
  <si>
    <t>затраты + торговая наценка +89,19%</t>
  </si>
  <si>
    <t>затраты + торговая наценка +116,22%</t>
  </si>
  <si>
    <t>Таблица 3 – Расчет выручки и планируемого усредненного количества посетителей школы</t>
  </si>
  <si>
    <t>образовательная услуга</t>
  </si>
  <si>
    <t>Таблица 23 – Расчет выручки и планируемого усредненного количества посетителей студии «Тайфун»</t>
  </si>
  <si>
    <t xml:space="preserve">Месяц 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</si>
  <si>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</si>
  <si>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</si>
  <si>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</si>
  <si>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</si>
  <si>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</si>
  <si>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</si>
  <si>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</si>
  <si>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</si>
  <si>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</si>
  <si>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</si>
  <si>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</si>
  <si>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</si>
  <si>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Таблица 27 – Условно-переменные затраты школы «Тайфун», тыс. руб.</t>
  </si>
  <si>
    <t>Янв.</t>
  </si>
  <si>
    <t>Фев.</t>
  </si>
  <si>
    <t>Мар.</t>
  </si>
  <si>
    <t>Апр.</t>
  </si>
  <si>
    <t>Июн.</t>
  </si>
  <si>
    <t>Июл.</t>
  </si>
  <si>
    <t>Авг.</t>
  </si>
  <si>
    <t>Сент.</t>
  </si>
  <si>
    <t>Окт.</t>
  </si>
  <si>
    <t>Нояб.</t>
  </si>
  <si>
    <t>Дек.</t>
  </si>
  <si>
    <t>Прогноз 2020г</t>
  </si>
  <si>
    <t>Прогноз 2021г</t>
  </si>
  <si>
    <t>Прогноз 2022г</t>
  </si>
  <si>
    <t>Янв</t>
  </si>
  <si>
    <t>Июн</t>
  </si>
  <si>
    <t>Июл</t>
  </si>
  <si>
    <t>Авг</t>
  </si>
  <si>
    <t>Сент</t>
  </si>
  <si>
    <t>Окт</t>
  </si>
  <si>
    <t>Дек</t>
  </si>
  <si>
    <t>Арендная плата</t>
  </si>
  <si>
    <t>Телефония и Интернет</t>
  </si>
  <si>
    <t>Канцтовары</t>
  </si>
  <si>
    <t>Хоз. инвентарь</t>
  </si>
  <si>
    <t>Аутсорсинг</t>
  </si>
  <si>
    <t> Итого</t>
  </si>
  <si>
    <t>Таблица 28 - Отчет о движении денежных средств за 2022г, руб.</t>
  </si>
  <si>
    <t> Показатели</t>
  </si>
  <si>
    <t> Поступления, всего</t>
  </si>
  <si>
    <t>Личные средства</t>
  </si>
  <si>
    <t>Кредит</t>
  </si>
  <si>
    <t>Выручка от продаж</t>
  </si>
  <si>
    <t>Выбытие всего</t>
  </si>
  <si>
    <t>Оборудование</t>
  </si>
  <si>
    <t>Нематериальные активы</t>
  </si>
  <si>
    <t>ФОТ</t>
  </si>
  <si>
    <t>Условно-постоянных расходов</t>
  </si>
  <si>
    <t>Условно-переменные затраты</t>
  </si>
  <si>
    <t>Амортизационные отчисления  (1,67% в месяц)</t>
  </si>
  <si>
    <t>Налог на доход,  6%</t>
  </si>
  <si>
    <t>Выплата кредита</t>
  </si>
  <si>
    <t>Баланс наличности</t>
  </si>
  <si>
    <t>Таблица 29 - Отчет о движении денежных средств за 2023г, руб.</t>
  </si>
  <si>
    <t>Амортизационные отчисления  (4%)</t>
  </si>
  <si>
    <t>Остаток денежных средств на конец  2022г</t>
  </si>
  <si>
    <t>Таблица 30 - Отчет о движении денежных средств за 2024г, руб.</t>
  </si>
  <si>
    <t>Показатели</t>
  </si>
  <si>
    <t>Поступления, всего</t>
  </si>
  <si>
    <t>Остаток денежных средств на конец  2023г</t>
  </si>
  <si>
    <t>Баланс  наличности</t>
  </si>
  <si>
    <t>Таблица 25- Расчет постоянных  расходов  студии, тыс.руб</t>
  </si>
  <si>
    <t>Расчет точки окупаемости проекта</t>
  </si>
  <si>
    <t>Внесите свои данные 
в столбцы "С - Т"</t>
  </si>
  <si>
    <t>График</t>
  </si>
  <si>
    <t>№</t>
  </si>
  <si>
    <t>Статьи расходов</t>
  </si>
  <si>
    <t>месяц работы</t>
  </si>
  <si>
    <t>Всего</t>
  </si>
  <si>
    <t>Налог на доход, 6%</t>
  </si>
  <si>
    <t>Амортизационные отчисления (33%)</t>
  </si>
  <si>
    <t>ИТОГО</t>
  </si>
  <si>
    <t>Доходы нарастающим итогом</t>
  </si>
  <si>
    <t>Статьи доходов</t>
  </si>
  <si>
    <t>Выручка</t>
  </si>
  <si>
    <t>Доход от рекламы</t>
  </si>
  <si>
    <t>Расходы нарастающим итогом</t>
  </si>
  <si>
    <t>Итого: прибыль или убыток</t>
  </si>
  <si>
    <t>Таблица 34 - Анализ эффективности инвестиций,   руб.</t>
  </si>
  <si>
    <t>1год</t>
  </si>
  <si>
    <t>Стартовые инвестиции</t>
  </si>
  <si>
    <t>Свободный денежный поток</t>
  </si>
  <si>
    <t>Ставка дисконтирования, % (кумулятивный метод)</t>
  </si>
  <si>
    <r>
      <t>БСЦБ – учетная ставка</t>
    </r>
    <r>
      <rPr>
        <sz val="11"/>
        <color theme="1"/>
        <rFont val="Arial"/>
      </rPr>
      <t xml:space="preserve"> Центробанка;</t>
    </r>
  </si>
  <si>
    <t xml:space="preserve"> Ро – риски, свойственные для определенных отраслей</t>
  </si>
  <si>
    <t xml:space="preserve">Рс – риск конкретной страны, где предусматривается внедрение проекта; </t>
  </si>
  <si>
    <t xml:space="preserve">Рн – риск возможной низкой стоимости (неликвидности) начинания; </t>
  </si>
  <si>
    <t xml:space="preserve">Ру – риск от недостаточно качественного менеджмента. </t>
  </si>
  <si>
    <t>Чистая приведенная стоимость (NPV)</t>
  </si>
  <si>
    <t>Индекс прибыльности (PI)</t>
  </si>
  <si>
    <t xml:space="preserve">Внутренняя норма доходности (IRR)  </t>
  </si>
  <si>
    <t>Год</t>
  </si>
  <si>
    <t>Величина инвестиций, руб.</t>
  </si>
  <si>
    <t>Денежный поток по годам, руб.</t>
  </si>
  <si>
    <t>Компоненты денежного потока по годам, приведенные к нулевому году, руб.</t>
  </si>
  <si>
    <t>Накопленный к данному году дисконтированный денежный поток, руб.</t>
  </si>
  <si>
    <r>
      <t>2632500 / (1,23)</t>
    </r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Arial"/>
      </rPr>
      <t xml:space="preserve"> = 2140243</t>
    </r>
  </si>
  <si>
    <r>
      <t>9009000/ (1,23)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Arial"/>
      </rPr>
      <t xml:space="preserve"> = 5954788</t>
    </r>
  </si>
  <si>
    <r>
      <t>9828000 / (1,23)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Arial"/>
      </rPr>
      <t xml:space="preserve"> = 5281409</t>
    </r>
  </si>
  <si>
    <t>2140243 - 552000 = 1588243</t>
  </si>
  <si>
    <t>2140243+5954788+5281409  - 552000 = 12824440</t>
  </si>
  <si>
    <r>
      <rPr>
        <b/>
        <sz val="11"/>
        <color theme="1"/>
        <rFont val="Calibri"/>
        <family val="2"/>
        <charset val="204"/>
        <scheme val="minor"/>
      </rPr>
      <t xml:space="preserve">NPV </t>
    </r>
    <r>
      <rPr>
        <sz val="11"/>
        <color theme="1"/>
        <rFont val="Arial"/>
      </rPr>
      <t>= 12824440</t>
    </r>
  </si>
  <si>
    <r>
      <rPr>
        <b/>
        <sz val="11"/>
        <color theme="1"/>
        <rFont val="Calibri"/>
        <family val="2"/>
        <charset val="204"/>
        <scheme val="minor"/>
      </rPr>
      <t>Pi</t>
    </r>
    <r>
      <rPr>
        <sz val="11"/>
        <color theme="1"/>
        <rFont val="Arial"/>
      </rPr>
      <t>-= 1 + 1284440/552000=3,33</t>
    </r>
  </si>
  <si>
    <t>2 месяца</t>
  </si>
  <si>
    <t>Сд =17% + 1% + 3% + 1% + 1% = 23%.</t>
  </si>
  <si>
    <t>2140243+5954788 - 552000 = 7543031</t>
  </si>
  <si>
    <t>0,32лет</t>
  </si>
  <si>
    <t>https://wpcalc.com/discounted-payback-period/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</si>
</sst>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_р_."/>
    <numFmt numFmtId="169" formatCode="#,##0_ ;[Red]\-#,##0\ "/>
  </numFmts>
  <fonts count="38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rgb="FF333333"/>
      <name val="Roboto"/>
    </font>
    <font>
      <i/>
      <sz val="9"/>
      <color theme="1"/>
      <name val="Calibri"/>
    </font>
    <font>
      <i/>
      <sz val="11"/>
      <color theme="1"/>
      <name val="Calibri"/>
    </font>
    <font>
      <i/>
      <sz val="9"/>
      <color rgb="FFA5A5A5"/>
      <name val="Calibri"/>
    </font>
    <font>
      <i/>
      <vertAlign val="subscript"/>
      <sz val="9"/>
      <color theme="1"/>
      <name val="Calibri"/>
    </font>
    <font>
      <i/>
      <vertAlign val="superscript"/>
      <sz val="9"/>
      <color theme="1"/>
      <name val="Calibri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i/>
      <sz val="9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rgb="FF002060"/>
      <name val="Calibri"/>
      <family val="2"/>
      <charset val="204"/>
      <scheme val="minor"/>
    </font>
    <font>
      <b/>
      <i/>
      <sz val="12"/>
      <color rgb="FF00206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u/>
      <sz val="12"/>
      <color theme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12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DDDDDD"/>
        <bgColor rgb="FFDDDD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60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5" fillId="0" borderId="0" xfId="0" applyFont="1"/>
    <xf numFmtId="0" fontId="2" fillId="0" borderId="21" xfId="0" applyFont="1" applyBorder="1" applyAlignment="1">
      <alignment wrapText="1"/>
    </xf>
    <xf numFmtId="0" fontId="6" fillId="4" borderId="0" xfId="0" applyFont="1" applyFill="1"/>
    <xf numFmtId="0" fontId="6" fillId="0" borderId="0" xfId="0" applyFont="1"/>
    <xf numFmtId="0" fontId="2" fillId="3" borderId="21" xfId="0" applyFont="1" applyFill="1" applyBorder="1" applyAlignment="1">
      <alignment wrapText="1"/>
    </xf>
    <xf numFmtId="0" fontId="2" fillId="3" borderId="21" xfId="0" applyFont="1" applyFill="1" applyBorder="1" applyAlignment="1">
      <alignment horizontal="left" wrapText="1"/>
    </xf>
    <xf numFmtId="0" fontId="2" fillId="0" borderId="21" xfId="0" applyFont="1" applyBorder="1"/>
    <xf numFmtId="0" fontId="7" fillId="0" borderId="21" xfId="0" applyFont="1" applyBorder="1" applyAlignment="1">
      <alignment wrapText="1"/>
    </xf>
    <xf numFmtId="0" fontId="2" fillId="2" borderId="1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3" xfId="0" applyFont="1" applyBorder="1"/>
    <xf numFmtId="0" fontId="2" fillId="0" borderId="20" xfId="0" applyFont="1" applyBorder="1"/>
    <xf numFmtId="0" fontId="3" fillId="0" borderId="3" xfId="0" applyFont="1" applyBorder="1"/>
    <xf numFmtId="0" fontId="2" fillId="2" borderId="21" xfId="0" applyFont="1" applyFill="1" applyBorder="1" applyAlignment="1">
      <alignment horizontal="center"/>
    </xf>
    <xf numFmtId="0" fontId="2" fillId="0" borderId="26" xfId="0" applyFont="1" applyBorder="1"/>
    <xf numFmtId="0" fontId="2" fillId="3" borderId="2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3" borderId="33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/>
    <xf numFmtId="0" fontId="7" fillId="0" borderId="21" xfId="0" quotePrefix="1" applyFont="1" applyBorder="1" applyAlignment="1">
      <alignment wrapText="1"/>
    </xf>
    <xf numFmtId="0" fontId="2" fillId="0" borderId="24" xfId="0" applyFont="1" applyBorder="1"/>
    <xf numFmtId="0" fontId="7" fillId="0" borderId="21" xfId="0" quotePrefix="1" applyFont="1" applyBorder="1"/>
    <xf numFmtId="0" fontId="9" fillId="0" borderId="21" xfId="0" applyFont="1" applyBorder="1" applyAlignment="1">
      <alignment wrapText="1"/>
    </xf>
    <xf numFmtId="0" fontId="8" fillId="0" borderId="21" xfId="0" applyFont="1" applyBorder="1"/>
    <xf numFmtId="0" fontId="12" fillId="0" borderId="21" xfId="0" applyFont="1" applyBorder="1" applyAlignment="1">
      <alignment wrapText="1"/>
    </xf>
    <xf numFmtId="0" fontId="12" fillId="0" borderId="21" xfId="0" applyFont="1" applyBorder="1"/>
    <xf numFmtId="0" fontId="13" fillId="0" borderId="0" xfId="0" applyFont="1" applyAlignment="1"/>
    <xf numFmtId="0" fontId="12" fillId="0" borderId="15" xfId="0" applyFont="1" applyBorder="1" applyAlignment="1">
      <alignment wrapText="1"/>
    </xf>
    <xf numFmtId="0" fontId="12" fillId="3" borderId="16" xfId="0" applyFont="1" applyFill="1" applyBorder="1" applyAlignment="1">
      <alignment wrapText="1"/>
    </xf>
    <xf numFmtId="0" fontId="12" fillId="3" borderId="18" xfId="0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7" xfId="0" applyFont="1" applyBorder="1"/>
    <xf numFmtId="0" fontId="12" fillId="0" borderId="19" xfId="0" applyFont="1" applyBorder="1"/>
    <xf numFmtId="0" fontId="12" fillId="0" borderId="11" xfId="0" applyFont="1" applyBorder="1" applyAlignment="1">
      <alignment wrapText="1"/>
    </xf>
    <xf numFmtId="0" fontId="14" fillId="0" borderId="41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15" fillId="0" borderId="21" xfId="1" applyBorder="1" applyAlignment="1">
      <alignment wrapText="1"/>
    </xf>
    <xf numFmtId="0" fontId="16" fillId="0" borderId="21" xfId="0" applyFont="1" applyBorder="1" applyAlignment="1">
      <alignment wrapText="1"/>
    </xf>
    <xf numFmtId="0" fontId="14" fillId="0" borderId="4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5" borderId="46" xfId="0" applyFont="1" applyFill="1" applyBorder="1" applyAlignment="1">
      <alignment vertical="center" wrapText="1"/>
    </xf>
    <xf numFmtId="0" fontId="14" fillId="6" borderId="46" xfId="0" applyFont="1" applyFill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46" xfId="0" applyFont="1" applyFill="1" applyBorder="1" applyAlignment="1">
      <alignment vertical="center" wrapText="1"/>
    </xf>
    <xf numFmtId="0" fontId="14" fillId="6" borderId="47" xfId="0" applyFont="1" applyFill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14" fillId="6" borderId="48" xfId="0" applyFont="1" applyFill="1" applyBorder="1" applyAlignment="1">
      <alignment vertical="center" wrapText="1"/>
    </xf>
    <xf numFmtId="0" fontId="14" fillId="5" borderId="47" xfId="0" applyFont="1" applyFill="1" applyBorder="1" applyAlignment="1">
      <alignment vertical="center" wrapText="1"/>
    </xf>
    <xf numFmtId="0" fontId="14" fillId="6" borderId="49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7" borderId="0" xfId="0" applyFont="1" applyFill="1" applyBorder="1" applyAlignment="1">
      <alignment vertical="center" wrapText="1"/>
    </xf>
    <xf numFmtId="0" fontId="14" fillId="0" borderId="44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0" xfId="0" applyFont="1" applyAlignment="1">
      <alignment horizontal="left" vertical="center"/>
    </xf>
    <xf numFmtId="0" fontId="14" fillId="0" borderId="45" xfId="0" applyFont="1" applyBorder="1" applyAlignment="1">
      <alignment vertical="top" wrapText="1"/>
    </xf>
    <xf numFmtId="0" fontId="14" fillId="5" borderId="46" xfId="0" applyFont="1" applyFill="1" applyBorder="1" applyAlignment="1">
      <alignment vertical="top" wrapText="1"/>
    </xf>
    <xf numFmtId="0" fontId="14" fillId="0" borderId="46" xfId="0" applyFont="1" applyFill="1" applyBorder="1" applyAlignment="1">
      <alignment vertical="top" wrapText="1"/>
    </xf>
    <xf numFmtId="0" fontId="14" fillId="8" borderId="46" xfId="0" applyFont="1" applyFill="1" applyBorder="1" applyAlignment="1">
      <alignment vertical="top" wrapText="1"/>
    </xf>
    <xf numFmtId="0" fontId="0" fillId="0" borderId="0" xfId="0"/>
    <xf numFmtId="0" fontId="14" fillId="0" borderId="0" xfId="0" applyFont="1" applyAlignment="1">
      <alignment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justify" vertical="center" wrapText="1"/>
    </xf>
    <xf numFmtId="0" fontId="14" fillId="0" borderId="52" xfId="0" applyFont="1" applyBorder="1" applyAlignment="1">
      <alignment horizontal="justify" vertical="center" wrapText="1"/>
    </xf>
    <xf numFmtId="0" fontId="14" fillId="0" borderId="46" xfId="0" applyFont="1" applyBorder="1" applyAlignment="1">
      <alignment horizontal="center" vertical="center" wrapText="1"/>
    </xf>
    <xf numFmtId="0" fontId="12" fillId="0" borderId="26" xfId="0" applyFont="1" applyBorder="1" applyAlignment="1">
      <alignment wrapText="1"/>
    </xf>
    <xf numFmtId="0" fontId="18" fillId="0" borderId="53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4" fillId="0" borderId="45" xfId="0" applyFont="1" applyBorder="1" applyAlignment="1">
      <alignment horizontal="justify" vertical="center" wrapText="1"/>
    </xf>
    <xf numFmtId="0" fontId="18" fillId="0" borderId="38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14" fillId="0" borderId="53" xfId="0" applyFont="1" applyBorder="1" applyAlignment="1">
      <alignment vertical="center" wrapText="1"/>
    </xf>
    <xf numFmtId="0" fontId="14" fillId="0" borderId="38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53" xfId="0" applyFont="1" applyBorder="1" applyAlignment="1">
      <alignment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8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58" xfId="0" applyFont="1" applyBorder="1"/>
    <xf numFmtId="0" fontId="14" fillId="0" borderId="4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7" xfId="0" applyFont="1" applyBorder="1"/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9" xfId="0" applyFont="1" applyBorder="1"/>
    <xf numFmtId="0" fontId="12" fillId="0" borderId="8" xfId="0" applyFont="1" applyBorder="1" applyAlignment="1">
      <alignment horizontal="center" wrapText="1"/>
    </xf>
    <xf numFmtId="0" fontId="4" fillId="0" borderId="10" xfId="0" applyFont="1" applyBorder="1"/>
    <xf numFmtId="0" fontId="3" fillId="2" borderId="11" xfId="0" applyFont="1" applyFill="1" applyBorder="1" applyAlignment="1">
      <alignment horizontal="center" wrapText="1"/>
    </xf>
    <xf numFmtId="0" fontId="4" fillId="0" borderId="12" xfId="0" applyFont="1" applyBorder="1"/>
    <xf numFmtId="0" fontId="3" fillId="2" borderId="11" xfId="0" applyFont="1" applyFill="1" applyBorder="1" applyAlignment="1">
      <alignment horizontal="right" wrapText="1"/>
    </xf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0" fontId="12" fillId="0" borderId="3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4" fillId="0" borderId="26" xfId="0" applyFont="1" applyBorder="1"/>
    <xf numFmtId="0" fontId="4" fillId="0" borderId="25" xfId="0" applyFont="1" applyBorder="1"/>
    <xf numFmtId="0" fontId="1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2" fontId="4" fillId="0" borderId="12" xfId="0" applyNumberFormat="1" applyFont="1" applyBorder="1"/>
    <xf numFmtId="2" fontId="4" fillId="0" borderId="9" xfId="0" applyNumberFormat="1" applyFont="1" applyBorder="1"/>
    <xf numFmtId="0" fontId="2" fillId="2" borderId="2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14" fillId="0" borderId="4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4" fillId="0" borderId="27" xfId="0" applyFont="1" applyBorder="1"/>
    <xf numFmtId="0" fontId="2" fillId="2" borderId="28" xfId="0" applyFont="1" applyFill="1" applyBorder="1" applyAlignment="1">
      <alignment horizontal="center"/>
    </xf>
    <xf numFmtId="0" fontId="4" fillId="0" borderId="29" xfId="0" applyFont="1" applyBorder="1"/>
    <xf numFmtId="0" fontId="4" fillId="0" borderId="30" xfId="0" applyFont="1" applyBorder="1"/>
    <xf numFmtId="0" fontId="2" fillId="2" borderId="31" xfId="0" applyFont="1" applyFill="1" applyBorder="1" applyAlignment="1">
      <alignment horizontal="center"/>
    </xf>
    <xf numFmtId="0" fontId="4" fillId="0" borderId="32" xfId="0" applyFont="1" applyBorder="1"/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2" fillId="0" borderId="0" xfId="0" applyFont="1"/>
    <xf numFmtId="0" fontId="23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Protection="1"/>
    <xf numFmtId="0" fontId="22" fillId="0" borderId="0" xfId="0" applyFont="1" applyFill="1"/>
    <xf numFmtId="0" fontId="24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Protection="1"/>
    <xf numFmtId="0" fontId="25" fillId="0" borderId="0" xfId="0" applyFont="1" applyFill="1" applyAlignment="1"/>
    <xf numFmtId="0" fontId="26" fillId="0" borderId="0" xfId="1" applyFont="1" applyFill="1" applyAlignment="1" applyProtection="1"/>
    <xf numFmtId="0" fontId="0" fillId="10" borderId="58" xfId="0" applyFill="1" applyBorder="1" applyAlignment="1" applyProtection="1">
      <alignment horizontal="center"/>
      <protection locked="0"/>
    </xf>
    <xf numFmtId="0" fontId="27" fillId="10" borderId="59" xfId="0" applyFont="1" applyFill="1" applyBorder="1" applyAlignment="1" applyProtection="1">
      <alignment horizontal="left" vertical="center" wrapText="1"/>
      <protection locked="0"/>
    </xf>
    <xf numFmtId="0" fontId="28" fillId="10" borderId="58" xfId="0" applyFont="1" applyFill="1" applyBorder="1" applyAlignment="1" applyProtection="1">
      <alignment horizontal="center"/>
      <protection locked="0"/>
    </xf>
    <xf numFmtId="0" fontId="0" fillId="10" borderId="58" xfId="0" applyFill="1" applyBorder="1" applyProtection="1"/>
    <xf numFmtId="0" fontId="27" fillId="10" borderId="60" xfId="0" applyFont="1" applyFill="1" applyBorder="1" applyAlignment="1" applyProtection="1">
      <alignment horizontal="left" vertical="center" wrapText="1"/>
      <protection locked="0"/>
    </xf>
    <xf numFmtId="0" fontId="29" fillId="10" borderId="58" xfId="0" applyFont="1" applyFill="1" applyBorder="1" applyAlignment="1" applyProtection="1">
      <alignment horizontal="center"/>
      <protection locked="0"/>
    </xf>
    <xf numFmtId="0" fontId="28" fillId="10" borderId="58" xfId="0" applyFont="1" applyFill="1" applyBorder="1" applyProtection="1"/>
    <xf numFmtId="0" fontId="0" fillId="10" borderId="58" xfId="0" applyFill="1" applyBorder="1" applyProtection="1">
      <protection locked="0"/>
    </xf>
    <xf numFmtId="0" fontId="19" fillId="0" borderId="45" xfId="0" applyFont="1" applyBorder="1" applyAlignment="1" applyProtection="1">
      <alignment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30" fillId="0" borderId="4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168" fontId="0" fillId="10" borderId="58" xfId="0" applyNumberFormat="1" applyFont="1" applyFill="1" applyBorder="1" applyAlignment="1" applyProtection="1">
      <alignment horizontal="center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1" fillId="0" borderId="46" xfId="0" applyFont="1" applyBorder="1" applyAlignment="1" applyProtection="1">
      <alignment horizontal="center" vertical="center" wrapText="1"/>
      <protection locked="0"/>
    </xf>
    <xf numFmtId="0" fontId="31" fillId="5" borderId="46" xfId="0" applyFont="1" applyFill="1" applyBorder="1" applyAlignment="1" applyProtection="1">
      <alignment horizontal="center" vertical="center" wrapText="1"/>
      <protection locked="0"/>
    </xf>
    <xf numFmtId="0" fontId="32" fillId="5" borderId="46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14" fillId="0" borderId="0" xfId="0" applyFont="1"/>
    <xf numFmtId="0" fontId="0" fillId="10" borderId="58" xfId="0" applyFill="1" applyBorder="1" applyAlignment="1" applyProtection="1">
      <alignment wrapText="1"/>
      <protection locked="0"/>
    </xf>
    <xf numFmtId="168" fontId="0" fillId="10" borderId="58" xfId="0" applyNumberFormat="1" applyFill="1" applyBorder="1" applyAlignment="1" applyProtection="1">
      <alignment horizontal="center"/>
      <protection locked="0"/>
    </xf>
    <xf numFmtId="0" fontId="28" fillId="10" borderId="58" xfId="0" applyFont="1" applyFill="1" applyBorder="1" applyAlignment="1" applyProtection="1">
      <alignment wrapText="1"/>
    </xf>
    <xf numFmtId="168" fontId="28" fillId="10" borderId="58" xfId="0" applyNumberFormat="1" applyFont="1" applyFill="1" applyBorder="1" applyAlignment="1" applyProtection="1">
      <alignment horizontal="center"/>
    </xf>
    <xf numFmtId="168" fontId="28" fillId="10" borderId="0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11" borderId="58" xfId="0" applyFill="1" applyBorder="1" applyAlignment="1" applyProtection="1">
      <alignment horizontal="center"/>
      <protection locked="0"/>
    </xf>
    <xf numFmtId="0" fontId="33" fillId="11" borderId="59" xfId="0" applyFont="1" applyFill="1" applyBorder="1" applyAlignment="1" applyProtection="1">
      <alignment horizontal="left" vertical="center" wrapText="1"/>
      <protection locked="0"/>
    </xf>
    <xf numFmtId="0" fontId="28" fillId="11" borderId="58" xfId="0" applyFont="1" applyFill="1" applyBorder="1" applyAlignment="1" applyProtection="1">
      <alignment horizontal="center"/>
      <protection locked="0"/>
    </xf>
    <xf numFmtId="0" fontId="0" fillId="11" borderId="58" xfId="0" applyFill="1" applyBorder="1" applyProtection="1"/>
    <xf numFmtId="0" fontId="33" fillId="11" borderId="60" xfId="0" applyFont="1" applyFill="1" applyBorder="1" applyAlignment="1" applyProtection="1">
      <alignment horizontal="left" vertical="center" wrapText="1"/>
      <protection locked="0"/>
    </xf>
    <xf numFmtId="0" fontId="29" fillId="11" borderId="58" xfId="0" applyFont="1" applyFill="1" applyBorder="1" applyAlignment="1" applyProtection="1">
      <alignment horizontal="center"/>
      <protection locked="0"/>
    </xf>
    <xf numFmtId="0" fontId="28" fillId="11" borderId="58" xfId="0" applyFont="1" applyFill="1" applyBorder="1" applyProtection="1"/>
    <xf numFmtId="0" fontId="0" fillId="11" borderId="58" xfId="0" applyFill="1" applyBorder="1" applyProtection="1">
      <protection locked="0"/>
    </xf>
    <xf numFmtId="0" fontId="0" fillId="11" borderId="58" xfId="0" applyFill="1" applyBorder="1" applyAlignment="1" applyProtection="1">
      <alignment wrapText="1"/>
      <protection locked="0"/>
    </xf>
    <xf numFmtId="0" fontId="34" fillId="0" borderId="4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168" fontId="0" fillId="11" borderId="58" xfId="0" applyNumberFormat="1" applyFont="1" applyFill="1" applyBorder="1" applyAlignment="1" applyProtection="1">
      <alignment horizontal="center"/>
    </xf>
    <xf numFmtId="168" fontId="0" fillId="11" borderId="58" xfId="0" applyNumberFormat="1" applyFill="1" applyBorder="1" applyAlignment="1" applyProtection="1">
      <alignment horizontal="center"/>
      <protection locked="0"/>
    </xf>
    <xf numFmtId="0" fontId="28" fillId="11" borderId="58" xfId="0" applyFont="1" applyFill="1" applyBorder="1" applyAlignment="1" applyProtection="1">
      <alignment wrapText="1"/>
    </xf>
    <xf numFmtId="168" fontId="28" fillId="11" borderId="58" xfId="0" applyNumberFormat="1" applyFont="1" applyFill="1" applyBorder="1" applyAlignment="1" applyProtection="1">
      <alignment horizontal="center"/>
    </xf>
    <xf numFmtId="168" fontId="0" fillId="11" borderId="58" xfId="0" applyNumberFormat="1" applyFill="1" applyBorder="1" applyAlignment="1" applyProtection="1">
      <alignment horizontal="center"/>
    </xf>
    <xf numFmtId="0" fontId="0" fillId="11" borderId="0" xfId="0" applyFill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36" fillId="12" borderId="0" xfId="0" applyFont="1" applyFill="1" applyProtection="1"/>
    <xf numFmtId="0" fontId="36" fillId="12" borderId="58" xfId="0" applyFont="1" applyFill="1" applyBorder="1" applyAlignment="1" applyProtection="1">
      <alignment wrapText="1"/>
    </xf>
    <xf numFmtId="169" fontId="36" fillId="12" borderId="58" xfId="0" applyNumberFormat="1" applyFont="1" applyFill="1" applyBorder="1" applyAlignment="1" applyProtection="1">
      <alignment horizontal="center"/>
    </xf>
    <xf numFmtId="0" fontId="36" fillId="0" borderId="0" xfId="0" applyFont="1" applyProtection="1"/>
    <xf numFmtId="0" fontId="33" fillId="12" borderId="0" xfId="0" applyFont="1" applyFill="1" applyProtection="1">
      <protection hidden="1"/>
    </xf>
    <xf numFmtId="0" fontId="33" fillId="12" borderId="0" xfId="0" applyFont="1" applyFill="1" applyAlignment="1" applyProtection="1">
      <alignment wrapText="1"/>
      <protection hidden="1"/>
    </xf>
    <xf numFmtId="0" fontId="33" fillId="12" borderId="0" xfId="0" applyFont="1" applyFill="1" applyAlignment="1" applyProtection="1">
      <alignment horizontal="left" wrapText="1"/>
      <protection hidden="1"/>
    </xf>
    <xf numFmtId="0" fontId="33" fillId="12" borderId="0" xfId="0" applyFont="1" applyFill="1" applyAlignment="1" applyProtection="1">
      <alignment horizontal="center" wrapText="1"/>
      <protection hidden="1"/>
    </xf>
    <xf numFmtId="0" fontId="33" fillId="0" borderId="0" xfId="0" applyFont="1" applyProtection="1"/>
    <xf numFmtId="0" fontId="1" fillId="0" borderId="46" xfId="0" applyFont="1" applyBorder="1" applyAlignment="1">
      <alignment horizontal="center" vertical="center" wrapText="1"/>
    </xf>
    <xf numFmtId="0" fontId="14" fillId="0" borderId="61" xfId="0" applyFont="1" applyBorder="1" applyAlignment="1">
      <alignment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0" fontId="0" fillId="0" borderId="58" xfId="0" applyBorder="1"/>
    <xf numFmtId="0" fontId="0" fillId="0" borderId="4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4" fillId="0" borderId="62" xfId="0" applyFont="1" applyBorder="1" applyAlignment="1">
      <alignment horizontal="justify" vertical="center" wrapText="1"/>
    </xf>
    <xf numFmtId="0" fontId="14" fillId="0" borderId="63" xfId="0" applyFont="1" applyBorder="1" applyAlignment="1">
      <alignment horizontal="justify" vertical="center" wrapText="1"/>
    </xf>
    <xf numFmtId="9" fontId="0" fillId="0" borderId="58" xfId="0" applyNumberFormat="1" applyBorder="1"/>
    <xf numFmtId="0" fontId="13" fillId="0" borderId="46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9" fontId="2" fillId="0" borderId="21" xfId="0" applyNumberFormat="1" applyFont="1" applyBorder="1"/>
    <xf numFmtId="0" fontId="13" fillId="0" borderId="0" xfId="0" applyFont="1"/>
    <xf numFmtId="0" fontId="20" fillId="0" borderId="48" xfId="0" applyFont="1" applyBorder="1" applyAlignment="1">
      <alignment horizontal="center" vertical="center" wrapText="1"/>
    </xf>
    <xf numFmtId="0" fontId="20" fillId="9" borderId="48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wrapText="1"/>
    </xf>
    <xf numFmtId="0" fontId="12" fillId="0" borderId="64" xfId="0" applyFont="1" applyFill="1" applyBorder="1" applyAlignment="1"/>
    <xf numFmtId="2" fontId="2" fillId="0" borderId="21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 sz="1400"/>
              <a:t>Достижение точки окупаемости проекта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Всего расходов</c:v>
          </c:tx>
          <c:spPr>
            <a:ln w="63500">
              <a:solidFill>
                <a:srgbClr val="00B0F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val>
            <c:numRef>
              <c:f>[2]окупаемость!$C$21:$T$21</c:f>
              <c:numCache>
                <c:formatCode>#,##0_р_.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615511.80000000005</c:v>
                </c:pt>
                <c:pt idx="4">
                  <c:v>781663.20000000007</c:v>
                </c:pt>
                <c:pt idx="5">
                  <c:v>994614.60000000009</c:v>
                </c:pt>
                <c:pt idx="6">
                  <c:v>1207566</c:v>
                </c:pt>
                <c:pt idx="7">
                  <c:v>1450937.4</c:v>
                </c:pt>
                <c:pt idx="8">
                  <c:v>1694308.7999999998</c:v>
                </c:pt>
                <c:pt idx="9">
                  <c:v>1937680.1999999997</c:v>
                </c:pt>
                <c:pt idx="10">
                  <c:v>2211471.5999999996</c:v>
                </c:pt>
                <c:pt idx="11">
                  <c:v>2485262.9999999995</c:v>
                </c:pt>
                <c:pt idx="12">
                  <c:v>2643851.6099999994</c:v>
                </c:pt>
                <c:pt idx="13">
                  <c:v>2802440.2199999993</c:v>
                </c:pt>
                <c:pt idx="14">
                  <c:v>2987878.8299999991</c:v>
                </c:pt>
                <c:pt idx="15">
                  <c:v>3173317.439999999</c:v>
                </c:pt>
                <c:pt idx="16">
                  <c:v>3358756.0499999989</c:v>
                </c:pt>
                <c:pt idx="17">
                  <c:v>3544194.6599999988</c:v>
                </c:pt>
              </c:numCache>
            </c:numRef>
          </c:val>
          <c:smooth val="0"/>
        </c:ser>
        <c:ser>
          <c:idx val="1"/>
          <c:order val="1"/>
          <c:tx>
            <c:v>Всего доходов</c:v>
          </c:tx>
          <c:spPr>
            <a:ln w="6350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circle"/>
            <c:size val="3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993366"/>
                </a:solidFill>
                <a:prstDash val="solid"/>
              </a:ln>
            </c:spPr>
          </c:marker>
          <c:val>
            <c:numRef>
              <c:f>[2]окупаемость!$C$32:$T$32</c:f>
              <c:numCache>
                <c:formatCode>#,##0_р_.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690000</c:v>
                </c:pt>
                <c:pt idx="4">
                  <c:v>865500</c:v>
                </c:pt>
                <c:pt idx="5">
                  <c:v>1099500</c:v>
                </c:pt>
                <c:pt idx="6">
                  <c:v>1333500</c:v>
                </c:pt>
                <c:pt idx="7">
                  <c:v>1684500</c:v>
                </c:pt>
                <c:pt idx="8">
                  <c:v>2035500</c:v>
                </c:pt>
                <c:pt idx="9">
                  <c:v>2386500</c:v>
                </c:pt>
                <c:pt idx="10">
                  <c:v>2854500</c:v>
                </c:pt>
                <c:pt idx="11">
                  <c:v>3322500</c:v>
                </c:pt>
                <c:pt idx="12">
                  <c:v>3502500</c:v>
                </c:pt>
                <c:pt idx="13">
                  <c:v>3682500</c:v>
                </c:pt>
                <c:pt idx="14">
                  <c:v>3922500</c:v>
                </c:pt>
                <c:pt idx="15">
                  <c:v>4162500</c:v>
                </c:pt>
                <c:pt idx="16">
                  <c:v>4402500</c:v>
                </c:pt>
                <c:pt idx="17">
                  <c:v>4642500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33856"/>
        <c:axId val="66775296"/>
      </c:lineChart>
      <c:catAx>
        <c:axId val="8223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200"/>
                  <a:t>месяцы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6775296"/>
        <c:crosses val="autoZero"/>
        <c:auto val="1"/>
        <c:lblAlgn val="ctr"/>
        <c:lblOffset val="100"/>
        <c:noMultiLvlLbl val="0"/>
      </c:catAx>
      <c:valAx>
        <c:axId val="6677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ru-RU" sz="1200"/>
                  <a:t>Деньги</a:t>
                </a:r>
              </a:p>
            </c:rich>
          </c:tx>
          <c:layout>
            <c:manualLayout>
              <c:xMode val="edge"/>
              <c:yMode val="edge"/>
              <c:x val="8.9609555342065068E-3"/>
              <c:y val="0.3396066478407467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22338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165</xdr:row>
      <xdr:rowOff>0</xdr:rowOff>
    </xdr:from>
    <xdr:to>
      <xdr:col>10</xdr:col>
      <xdr:colOff>806451</xdr:colOff>
      <xdr:row>192</xdr:row>
      <xdr:rowOff>173355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niga_21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%20&#1073;&#1077;&#1079;&#1091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 - Данные для расчета"/>
      <sheetName val="Лист 2 - Расчет инвестиционного"/>
      <sheetName val="Лист3 Доходы и расходы"/>
      <sheetName val="Лист4 Себестоимость"/>
      <sheetName val="Лист5 Факт "/>
      <sheetName val="Лист6 Фактический баланс"/>
      <sheetName val="Лист7 Прогнозный баланс "/>
      <sheetName val="Лист8"/>
      <sheetName val="Лист9"/>
      <sheetName val="Лист10 Показатели деятельности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упаемость"/>
    </sheetNames>
    <sheetDataSet>
      <sheetData sheetId="0">
        <row r="21">
          <cell r="C21">
            <v>0</v>
          </cell>
          <cell r="D21">
            <v>0</v>
          </cell>
          <cell r="E21">
            <v>0</v>
          </cell>
          <cell r="F21">
            <v>615511.80000000005</v>
          </cell>
          <cell r="G21">
            <v>781663.20000000007</v>
          </cell>
          <cell r="H21">
            <v>994614.60000000009</v>
          </cell>
          <cell r="I21">
            <v>1207566</v>
          </cell>
          <cell r="J21">
            <v>1450937.4</v>
          </cell>
          <cell r="K21">
            <v>1694308.7999999998</v>
          </cell>
          <cell r="L21">
            <v>1937680.1999999997</v>
          </cell>
          <cell r="M21">
            <v>2211471.5999999996</v>
          </cell>
          <cell r="N21">
            <v>2485262.9999999995</v>
          </cell>
          <cell r="O21">
            <v>2643851.6099999994</v>
          </cell>
          <cell r="P21">
            <v>2802440.2199999993</v>
          </cell>
          <cell r="Q21">
            <v>2987878.8299999991</v>
          </cell>
          <cell r="R21">
            <v>3173317.439999999</v>
          </cell>
          <cell r="S21">
            <v>3358756.0499999989</v>
          </cell>
          <cell r="T21">
            <v>3544194.6599999988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690000</v>
          </cell>
          <cell r="G32">
            <v>865500</v>
          </cell>
          <cell r="H32">
            <v>1099500</v>
          </cell>
          <cell r="I32">
            <v>1333500</v>
          </cell>
          <cell r="J32">
            <v>1684500</v>
          </cell>
          <cell r="K32">
            <v>2035500</v>
          </cell>
          <cell r="L32">
            <v>2386500</v>
          </cell>
          <cell r="M32">
            <v>2854500</v>
          </cell>
          <cell r="N32">
            <v>3322500</v>
          </cell>
          <cell r="O32">
            <v>3502500</v>
          </cell>
          <cell r="P32">
            <v>3682500</v>
          </cell>
          <cell r="Q32">
            <v>3922500</v>
          </cell>
          <cell r="R32">
            <v>4162500</v>
          </cell>
          <cell r="S32">
            <v>4402500</v>
          </cell>
          <cell r="T32">
            <v>4642500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ber-solutions.ru/services/buhgalteriya-i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workbookViewId="0">
      <selection activeCell="D8" sqref="D8:E18"/>
    </sheetView>
  </sheetViews>
  <sheetFormatPr defaultColWidth="12.69921875" defaultRowHeight="15" customHeight="1" x14ac:dyDescent="0.25"/>
  <cols>
    <col min="1" max="1" width="7.69921875" customWidth="1"/>
    <col min="2" max="2" width="15.59765625" customWidth="1"/>
    <col min="3" max="9" width="15.19921875" customWidth="1"/>
    <col min="10" max="26" width="7.69921875" customWidth="1"/>
  </cols>
  <sheetData>
    <row r="1" spans="1:26" ht="14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">
      <c r="A4" s="1"/>
      <c r="B4" s="120" t="s">
        <v>0</v>
      </c>
      <c r="C4" s="121"/>
      <c r="D4" s="121"/>
      <c r="E4" s="121"/>
      <c r="F4" s="121"/>
      <c r="G4" s="121"/>
      <c r="H4" s="121"/>
      <c r="I4" s="12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"/>
      <c r="B5" s="123" t="s">
        <v>1</v>
      </c>
      <c r="C5" s="118"/>
      <c r="D5" s="124" t="s">
        <v>2</v>
      </c>
      <c r="E5" s="118"/>
      <c r="F5" s="124" t="s">
        <v>3</v>
      </c>
      <c r="G5" s="118"/>
      <c r="H5" s="124" t="s">
        <v>4</v>
      </c>
      <c r="I5" s="11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1"/>
      <c r="B6" s="125"/>
      <c r="C6" s="118"/>
      <c r="D6" s="117" t="s">
        <v>113</v>
      </c>
      <c r="E6" s="118"/>
      <c r="F6" s="117" t="s">
        <v>115</v>
      </c>
      <c r="G6" s="118"/>
      <c r="H6" s="117" t="s">
        <v>117</v>
      </c>
      <c r="I6" s="11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"/>
      <c r="B7" s="115"/>
      <c r="C7" s="126"/>
      <c r="D7" s="127" t="s">
        <v>114</v>
      </c>
      <c r="E7" s="126"/>
      <c r="F7" s="127" t="s">
        <v>116</v>
      </c>
      <c r="G7" s="126"/>
      <c r="H7" s="115"/>
      <c r="I7" s="12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1"/>
      <c r="B8" s="115"/>
      <c r="C8" s="116"/>
      <c r="D8" s="115"/>
      <c r="E8" s="116"/>
      <c r="F8" s="115"/>
      <c r="G8" s="116"/>
      <c r="H8" s="115"/>
      <c r="I8" s="1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129" t="s">
        <v>5</v>
      </c>
      <c r="C9" s="130"/>
      <c r="D9" s="130"/>
      <c r="E9" s="130"/>
      <c r="F9" s="130"/>
      <c r="G9" s="130"/>
      <c r="H9" s="130"/>
      <c r="I9" s="1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123" t="s">
        <v>1</v>
      </c>
      <c r="C10" s="118"/>
      <c r="D10" s="124" t="s">
        <v>2</v>
      </c>
      <c r="E10" s="118"/>
      <c r="F10" s="124" t="s">
        <v>3</v>
      </c>
      <c r="G10" s="118"/>
      <c r="H10" s="124" t="s">
        <v>4</v>
      </c>
      <c r="I10" s="11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1"/>
      <c r="B11" s="2" t="s">
        <v>1</v>
      </c>
      <c r="C11" s="3" t="s">
        <v>6</v>
      </c>
      <c r="D11" s="2" t="s">
        <v>2</v>
      </c>
      <c r="E11" s="3" t="s">
        <v>6</v>
      </c>
      <c r="F11" s="2" t="s">
        <v>3</v>
      </c>
      <c r="G11" s="3" t="s">
        <v>6</v>
      </c>
      <c r="H11" s="2" t="s">
        <v>4</v>
      </c>
      <c r="I11" s="3" t="s">
        <v>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8.5" customHeight="1" x14ac:dyDescent="0.3">
      <c r="A12" s="1"/>
      <c r="B12" s="53" t="s">
        <v>120</v>
      </c>
      <c r="C12" s="54" t="s">
        <v>119</v>
      </c>
      <c r="D12" s="53" t="s">
        <v>130</v>
      </c>
      <c r="E12" s="54" t="s">
        <v>131</v>
      </c>
      <c r="F12" s="53" t="s">
        <v>134</v>
      </c>
      <c r="G12" s="54" t="s">
        <v>135</v>
      </c>
      <c r="H12" s="4">
        <v>552000</v>
      </c>
      <c r="I12" s="54" t="s">
        <v>138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6.95" customHeight="1" x14ac:dyDescent="0.3">
      <c r="A13" s="1"/>
      <c r="B13" s="5" t="s">
        <v>121</v>
      </c>
      <c r="C13" s="55" t="s">
        <v>119</v>
      </c>
      <c r="D13" s="56" t="s">
        <v>132</v>
      </c>
      <c r="E13" s="55" t="s">
        <v>131</v>
      </c>
      <c r="F13" s="5" t="s">
        <v>136</v>
      </c>
      <c r="G13" s="55" t="s">
        <v>137</v>
      </c>
      <c r="H13" s="5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85.5" customHeight="1" x14ac:dyDescent="0.3">
      <c r="A14" s="1"/>
      <c r="B14" s="5" t="s">
        <v>122</v>
      </c>
      <c r="C14" s="55" t="s">
        <v>119</v>
      </c>
      <c r="D14" s="5" t="s">
        <v>133</v>
      </c>
      <c r="E14" s="55" t="s">
        <v>119</v>
      </c>
      <c r="F14" s="5"/>
      <c r="G14" s="6"/>
      <c r="H14" s="5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45" customHeight="1" x14ac:dyDescent="0.3">
      <c r="A15" s="1"/>
      <c r="B15" s="5" t="s">
        <v>123</v>
      </c>
      <c r="C15" s="55" t="s">
        <v>119</v>
      </c>
      <c r="D15" s="5"/>
      <c r="E15" s="6"/>
      <c r="F15" s="5"/>
      <c r="G15" s="6"/>
      <c r="H15" s="5"/>
      <c r="I15" s="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2.549999999999997" customHeight="1" x14ac:dyDescent="0.3">
      <c r="A16" s="1"/>
      <c r="B16" s="56" t="s">
        <v>124</v>
      </c>
      <c r="C16" s="55" t="s">
        <v>119</v>
      </c>
      <c r="D16" s="5"/>
      <c r="E16" s="6"/>
      <c r="F16" s="5"/>
      <c r="G16" s="6"/>
      <c r="H16" s="5"/>
      <c r="I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 customHeight="1" x14ac:dyDescent="0.3">
      <c r="A17" s="1"/>
      <c r="B17" s="5" t="s">
        <v>125</v>
      </c>
      <c r="C17" s="55" t="s">
        <v>119</v>
      </c>
      <c r="D17" s="5"/>
      <c r="E17" s="6"/>
      <c r="F17" s="5"/>
      <c r="G17" s="6"/>
      <c r="H17" s="5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05" customHeight="1" x14ac:dyDescent="0.3">
      <c r="A18" s="1"/>
      <c r="B18" s="56" t="s">
        <v>126</v>
      </c>
      <c r="C18" s="55" t="s">
        <v>119</v>
      </c>
      <c r="D18" s="5"/>
      <c r="E18" s="6"/>
      <c r="F18" s="5"/>
      <c r="G18" s="6"/>
      <c r="H18" s="5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.45" customHeight="1" x14ac:dyDescent="0.3">
      <c r="A19" s="1"/>
      <c r="B19" s="5" t="s">
        <v>127</v>
      </c>
      <c r="C19" s="55" t="s">
        <v>119</v>
      </c>
      <c r="D19" s="5"/>
      <c r="E19" s="6"/>
      <c r="F19" s="5"/>
      <c r="G19" s="6"/>
      <c r="H19" s="5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45" customHeight="1" x14ac:dyDescent="0.3">
      <c r="A20" s="1"/>
      <c r="B20" s="56" t="s">
        <v>128</v>
      </c>
      <c r="C20" s="55" t="s">
        <v>119</v>
      </c>
      <c r="D20" s="5"/>
      <c r="E20" s="6"/>
      <c r="F20" s="5"/>
      <c r="G20" s="6"/>
      <c r="H20" s="5"/>
      <c r="I20" s="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2.549999999999997" customHeight="1" x14ac:dyDescent="0.3">
      <c r="A21" s="1"/>
      <c r="B21" s="5" t="s">
        <v>129</v>
      </c>
      <c r="C21" s="55" t="s">
        <v>119</v>
      </c>
      <c r="D21" s="5"/>
      <c r="E21" s="6"/>
      <c r="F21" s="5"/>
      <c r="G21" s="6"/>
      <c r="H21" s="5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1"/>
      <c r="B22" s="5"/>
      <c r="C22" s="6"/>
      <c r="D22" s="5"/>
      <c r="E22" s="6"/>
      <c r="F22" s="5"/>
      <c r="G22" s="6"/>
      <c r="H22" s="5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1"/>
      <c r="B23" s="5"/>
      <c r="C23" s="6"/>
      <c r="D23" s="5"/>
      <c r="E23" s="6"/>
      <c r="F23" s="5"/>
      <c r="G23" s="6"/>
      <c r="H23" s="5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1"/>
      <c r="B24" s="5"/>
      <c r="C24" s="6"/>
      <c r="D24" s="5"/>
      <c r="E24" s="6"/>
      <c r="F24" s="5"/>
      <c r="G24" s="6"/>
      <c r="H24" s="5"/>
      <c r="I24" s="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1"/>
      <c r="B25" s="7"/>
      <c r="C25" s="8"/>
      <c r="D25" s="7"/>
      <c r="E25" s="8"/>
      <c r="F25" s="7"/>
      <c r="G25" s="8"/>
      <c r="H25" s="7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/>
    <row r="213" spans="1:26" ht="15.75" customHeight="1" x14ac:dyDescent="0.25"/>
    <row r="214" spans="1:26" ht="15.75" customHeight="1" x14ac:dyDescent="0.25"/>
    <row r="215" spans="1:26" ht="15.75" customHeight="1" x14ac:dyDescent="0.25"/>
    <row r="216" spans="1:26" ht="15.75" customHeight="1" x14ac:dyDescent="0.25"/>
    <row r="217" spans="1:26" ht="15.75" customHeight="1" x14ac:dyDescent="0.25"/>
    <row r="218" spans="1:26" ht="15.75" customHeight="1" x14ac:dyDescent="0.25"/>
    <row r="219" spans="1:26" ht="15.75" customHeight="1" x14ac:dyDescent="0.25"/>
    <row r="220" spans="1:26" ht="15.75" customHeight="1" x14ac:dyDescent="0.25"/>
    <row r="221" spans="1:26" ht="15.75" customHeight="1" x14ac:dyDescent="0.25"/>
    <row r="222" spans="1:26" ht="15.75" customHeight="1" x14ac:dyDescent="0.25"/>
    <row r="223" spans="1:26" ht="15.75" customHeight="1" x14ac:dyDescent="0.25"/>
    <row r="224" spans="1:26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mergeCells count="22">
    <mergeCell ref="B10:C10"/>
    <mergeCell ref="D10:E10"/>
    <mergeCell ref="F10:G10"/>
    <mergeCell ref="H10:I10"/>
    <mergeCell ref="B9:I9"/>
    <mergeCell ref="B4:I4"/>
    <mergeCell ref="B5:C5"/>
    <mergeCell ref="D5:E5"/>
    <mergeCell ref="F5:G5"/>
    <mergeCell ref="H5:I5"/>
    <mergeCell ref="H8:I8"/>
    <mergeCell ref="F8:G8"/>
    <mergeCell ref="D8:E8"/>
    <mergeCell ref="B8:C8"/>
    <mergeCell ref="F6:G6"/>
    <mergeCell ref="H6:I6"/>
    <mergeCell ref="B6:C6"/>
    <mergeCell ref="D6:E6"/>
    <mergeCell ref="B7:C7"/>
    <mergeCell ref="D7:E7"/>
    <mergeCell ref="F7:G7"/>
    <mergeCell ref="H7:I7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0"/>
  <sheetViews>
    <sheetView topLeftCell="A10" workbookViewId="0">
      <selection activeCell="C8" sqref="C8"/>
    </sheetView>
  </sheetViews>
  <sheetFormatPr defaultColWidth="12.69921875" defaultRowHeight="15" customHeight="1" x14ac:dyDescent="0.25"/>
  <cols>
    <col min="1" max="1" width="5" customWidth="1"/>
    <col min="2" max="2" width="29.19921875" customWidth="1"/>
    <col min="3" max="3" width="21.69921875" customWidth="1"/>
    <col min="4" max="4" width="15.69921875" customWidth="1"/>
    <col min="5" max="6" width="12.69921875" customWidth="1"/>
  </cols>
  <sheetData>
    <row r="1" spans="1:14" ht="14.4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4" ht="14.4" x14ac:dyDescent="0.3">
      <c r="A2" s="9"/>
      <c r="B2" s="131" t="s">
        <v>7</v>
      </c>
      <c r="C2" s="126"/>
      <c r="D2" s="129" t="s">
        <v>8</v>
      </c>
      <c r="E2" s="130"/>
      <c r="F2" s="126"/>
      <c r="G2" s="129" t="s">
        <v>9</v>
      </c>
      <c r="H2" s="130"/>
      <c r="I2" s="126"/>
      <c r="J2" s="129" t="s">
        <v>10</v>
      </c>
      <c r="K2" s="130"/>
      <c r="L2" s="126"/>
    </row>
    <row r="3" spans="1:14" ht="86.4" x14ac:dyDescent="0.3">
      <c r="A3" s="9"/>
      <c r="B3" s="10" t="s">
        <v>11</v>
      </c>
      <c r="C3" s="10" t="s">
        <v>154</v>
      </c>
      <c r="D3" s="10" t="s">
        <v>12</v>
      </c>
      <c r="E3" s="10" t="s">
        <v>13</v>
      </c>
      <c r="F3" s="10" t="s">
        <v>14</v>
      </c>
      <c r="G3" s="10" t="s">
        <v>12</v>
      </c>
      <c r="H3" s="10" t="s">
        <v>13</v>
      </c>
      <c r="I3" s="10" t="s">
        <v>14</v>
      </c>
      <c r="J3" s="10" t="s">
        <v>12</v>
      </c>
      <c r="K3" s="10" t="s">
        <v>13</v>
      </c>
      <c r="L3" s="10" t="s">
        <v>14</v>
      </c>
      <c r="N3" s="11" t="s">
        <v>15</v>
      </c>
    </row>
    <row r="4" spans="1:14" ht="28.8" x14ac:dyDescent="0.3">
      <c r="A4" s="9"/>
      <c r="B4" s="12" t="s">
        <v>16</v>
      </c>
      <c r="C4" s="50" t="s">
        <v>174</v>
      </c>
      <c r="D4" s="12">
        <f>9828000/450</f>
        <v>21840</v>
      </c>
      <c r="E4" s="50" t="s">
        <v>182</v>
      </c>
      <c r="F4" s="12"/>
      <c r="G4" s="12">
        <f>2632500/450</f>
        <v>5850</v>
      </c>
      <c r="H4" s="50" t="s">
        <v>180</v>
      </c>
      <c r="I4" s="12"/>
      <c r="J4" s="12">
        <f>G4</f>
        <v>5850</v>
      </c>
      <c r="K4" s="12" t="str">
        <f>H4</f>
        <v>2632500 руб.- за 2022г</v>
      </c>
      <c r="L4" s="12"/>
      <c r="N4" s="13" t="s">
        <v>17</v>
      </c>
    </row>
    <row r="5" spans="1:14" ht="28.8" x14ac:dyDescent="0.3">
      <c r="A5" s="9"/>
      <c r="B5" s="12" t="s">
        <v>18</v>
      </c>
      <c r="C5" s="50" t="s">
        <v>178</v>
      </c>
      <c r="D5" s="12">
        <f t="shared" ref="D5:D6" si="0">9828000/450</f>
        <v>21840</v>
      </c>
      <c r="E5" s="50" t="s">
        <v>182</v>
      </c>
      <c r="F5" s="12"/>
      <c r="G5" s="12">
        <f>9009000/450</f>
        <v>20020</v>
      </c>
      <c r="H5" s="50" t="s">
        <v>181</v>
      </c>
      <c r="I5" s="12"/>
      <c r="J5" s="12">
        <f t="shared" ref="J5:J6" si="1">G5</f>
        <v>20020</v>
      </c>
      <c r="K5" s="12" t="str">
        <f t="shared" ref="K5:K6" si="2">H5</f>
        <v>9009000 руб - за 2023г</v>
      </c>
      <c r="L5" s="12"/>
      <c r="N5" s="14" t="s">
        <v>19</v>
      </c>
    </row>
    <row r="6" spans="1:14" ht="44.4" customHeight="1" x14ac:dyDescent="0.3">
      <c r="A6" s="9"/>
      <c r="B6" s="12" t="s">
        <v>20</v>
      </c>
      <c r="C6" s="50" t="s">
        <v>175</v>
      </c>
      <c r="D6" s="12">
        <f t="shared" si="0"/>
        <v>21840</v>
      </c>
      <c r="E6" s="50" t="s">
        <v>182</v>
      </c>
      <c r="F6" s="12"/>
      <c r="G6" s="12">
        <f>9828000/450</f>
        <v>21840</v>
      </c>
      <c r="H6" s="50" t="s">
        <v>182</v>
      </c>
      <c r="I6" s="12"/>
      <c r="J6" s="12">
        <f t="shared" si="1"/>
        <v>21840</v>
      </c>
      <c r="K6" s="12" t="str">
        <f t="shared" si="2"/>
        <v>9828000 руб - за 2024г</v>
      </c>
      <c r="L6" s="12"/>
      <c r="N6" s="14" t="s">
        <v>21</v>
      </c>
    </row>
    <row r="7" spans="1:14" ht="115.2" x14ac:dyDescent="0.3">
      <c r="A7" s="9"/>
      <c r="B7" s="12" t="s">
        <v>22</v>
      </c>
      <c r="C7" s="50" t="s">
        <v>177</v>
      </c>
      <c r="D7" s="12"/>
      <c r="E7" s="12"/>
      <c r="F7" s="12"/>
      <c r="G7" s="12"/>
      <c r="H7" s="12"/>
      <c r="I7" s="12"/>
      <c r="J7" s="12"/>
      <c r="K7" s="12"/>
      <c r="L7" s="12"/>
      <c r="N7" s="14" t="s">
        <v>23</v>
      </c>
    </row>
    <row r="8" spans="1:14" ht="86.4" x14ac:dyDescent="0.3">
      <c r="A8" s="9"/>
      <c r="B8" s="12" t="s">
        <v>24</v>
      </c>
      <c r="C8" s="50" t="s">
        <v>176</v>
      </c>
      <c r="D8" s="12"/>
      <c r="E8" s="12"/>
      <c r="F8" s="12"/>
      <c r="G8" s="12"/>
      <c r="H8" s="12"/>
      <c r="I8" s="12"/>
      <c r="J8" s="12"/>
      <c r="K8" s="12"/>
      <c r="L8" s="12"/>
      <c r="N8" s="14" t="s">
        <v>25</v>
      </c>
    </row>
    <row r="9" spans="1:14" ht="14.4" x14ac:dyDescent="0.3">
      <c r="A9" s="9"/>
      <c r="B9" s="12" t="s">
        <v>26</v>
      </c>
      <c r="C9" s="50" t="s">
        <v>179</v>
      </c>
      <c r="D9" s="12"/>
      <c r="E9" s="12"/>
      <c r="F9" s="12"/>
      <c r="G9" s="12"/>
      <c r="H9" s="12"/>
      <c r="I9" s="12"/>
      <c r="J9" s="12"/>
      <c r="K9" s="12"/>
      <c r="L9" s="12"/>
      <c r="N9" s="14" t="s">
        <v>27</v>
      </c>
    </row>
    <row r="10" spans="1:14" ht="14.4" x14ac:dyDescent="0.3">
      <c r="A10" s="9"/>
      <c r="B10" s="12" t="s">
        <v>28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14" t="s">
        <v>29</v>
      </c>
    </row>
    <row r="11" spans="1:14" ht="14.4" x14ac:dyDescent="0.3">
      <c r="A11" s="9"/>
      <c r="B11" s="12" t="s">
        <v>30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N11" s="14" t="s">
        <v>31</v>
      </c>
    </row>
    <row r="12" spans="1:14" ht="14.4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4" ht="14.4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4" thickBot="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4" ht="16.2" thickBot="1" x14ac:dyDescent="0.35">
      <c r="A15" s="9"/>
      <c r="B15" s="132" t="s">
        <v>155</v>
      </c>
      <c r="C15" s="134" t="s">
        <v>156</v>
      </c>
      <c r="D15" s="135"/>
      <c r="E15" s="136"/>
      <c r="F15" s="134" t="s">
        <v>157</v>
      </c>
      <c r="G15" s="135"/>
      <c r="H15" s="136"/>
      <c r="I15" s="9"/>
      <c r="J15" s="9"/>
      <c r="K15" s="9"/>
      <c r="L15" s="9"/>
    </row>
    <row r="16" spans="1:14" ht="16.2" thickBot="1" x14ac:dyDescent="0.35">
      <c r="A16" s="9"/>
      <c r="B16" s="133"/>
      <c r="C16" s="60" t="s">
        <v>158</v>
      </c>
      <c r="D16" s="60" t="s">
        <v>159</v>
      </c>
      <c r="E16" s="60" t="s">
        <v>160</v>
      </c>
      <c r="F16" s="60" t="s">
        <v>158</v>
      </c>
      <c r="G16" s="60" t="s">
        <v>159</v>
      </c>
      <c r="H16" s="60" t="s">
        <v>160</v>
      </c>
      <c r="I16" s="9"/>
      <c r="J16" s="9"/>
      <c r="K16" s="9"/>
      <c r="L16" s="9"/>
    </row>
    <row r="17" spans="1:12" ht="16.2" thickBot="1" x14ac:dyDescent="0.35">
      <c r="A17" s="9"/>
      <c r="B17" s="61" t="s">
        <v>161</v>
      </c>
      <c r="C17" s="60">
        <v>0</v>
      </c>
      <c r="D17" s="60">
        <v>50</v>
      </c>
      <c r="E17" s="60">
        <v>70</v>
      </c>
      <c r="F17" s="60">
        <v>0</v>
      </c>
      <c r="G17" s="60">
        <v>585000</v>
      </c>
      <c r="H17" s="60">
        <v>819000</v>
      </c>
      <c r="I17" s="9"/>
      <c r="J17" s="9"/>
      <c r="K17" s="9"/>
      <c r="L17" s="9"/>
    </row>
    <row r="18" spans="1:12" ht="16.2" thickBot="1" x14ac:dyDescent="0.35">
      <c r="A18" s="9"/>
      <c r="B18" s="61" t="s">
        <v>162</v>
      </c>
      <c r="C18" s="60">
        <v>0</v>
      </c>
      <c r="D18" s="60">
        <v>50</v>
      </c>
      <c r="E18" s="60">
        <v>70</v>
      </c>
      <c r="F18" s="60">
        <v>0</v>
      </c>
      <c r="G18" s="60">
        <v>585000</v>
      </c>
      <c r="H18" s="60">
        <v>819000</v>
      </c>
      <c r="I18" s="9"/>
      <c r="J18" s="9"/>
      <c r="K18" s="9"/>
      <c r="L18" s="9"/>
    </row>
    <row r="19" spans="1:12" ht="16.2" thickBot="1" x14ac:dyDescent="0.35">
      <c r="A19" s="9"/>
      <c r="B19" s="61" t="s">
        <v>163</v>
      </c>
      <c r="C19" s="60">
        <v>0</v>
      </c>
      <c r="D19" s="60">
        <v>60</v>
      </c>
      <c r="E19" s="60">
        <v>70</v>
      </c>
      <c r="F19" s="60">
        <v>0</v>
      </c>
      <c r="G19" s="60">
        <v>702000</v>
      </c>
      <c r="H19" s="60">
        <v>819000</v>
      </c>
      <c r="I19" s="9"/>
      <c r="J19" s="9"/>
      <c r="K19" s="9"/>
      <c r="L19" s="9"/>
    </row>
    <row r="20" spans="1:12" ht="16.2" thickBot="1" x14ac:dyDescent="0.35">
      <c r="A20" s="9"/>
      <c r="B20" s="61" t="s">
        <v>164</v>
      </c>
      <c r="C20" s="60">
        <v>0</v>
      </c>
      <c r="D20" s="60">
        <v>60</v>
      </c>
      <c r="E20" s="60">
        <v>70</v>
      </c>
      <c r="F20" s="60">
        <v>0</v>
      </c>
      <c r="G20" s="60">
        <v>702000</v>
      </c>
      <c r="H20" s="60">
        <v>819000</v>
      </c>
      <c r="I20" s="9"/>
      <c r="J20" s="9"/>
      <c r="K20" s="9"/>
      <c r="L20" s="9"/>
    </row>
    <row r="21" spans="1:12" ht="15.75" customHeight="1" thickBot="1" x14ac:dyDescent="0.35">
      <c r="A21" s="9"/>
      <c r="B21" s="61" t="s">
        <v>165</v>
      </c>
      <c r="C21" s="60">
        <v>15</v>
      </c>
      <c r="D21" s="60">
        <v>60</v>
      </c>
      <c r="E21" s="60">
        <v>70</v>
      </c>
      <c r="F21" s="60">
        <v>175500</v>
      </c>
      <c r="G21" s="60">
        <v>702000</v>
      </c>
      <c r="H21" s="60">
        <v>819000</v>
      </c>
      <c r="I21" s="9"/>
      <c r="J21" s="9"/>
      <c r="K21" s="9"/>
      <c r="L21" s="9"/>
    </row>
    <row r="22" spans="1:12" ht="15.75" customHeight="1" thickBot="1" x14ac:dyDescent="0.35">
      <c r="A22" s="9"/>
      <c r="B22" s="61" t="s">
        <v>166</v>
      </c>
      <c r="C22" s="60">
        <v>20</v>
      </c>
      <c r="D22" s="60">
        <v>70</v>
      </c>
      <c r="E22" s="60">
        <v>70</v>
      </c>
      <c r="F22" s="60">
        <v>234000</v>
      </c>
      <c r="G22" s="60">
        <v>819000</v>
      </c>
      <c r="H22" s="60">
        <v>819000</v>
      </c>
      <c r="I22" s="9"/>
      <c r="J22" s="9"/>
      <c r="K22" s="9"/>
      <c r="L22" s="9"/>
    </row>
    <row r="23" spans="1:12" ht="15.75" customHeight="1" thickBot="1" x14ac:dyDescent="0.35">
      <c r="A23" s="9"/>
      <c r="B23" s="61" t="s">
        <v>167</v>
      </c>
      <c r="C23" s="60">
        <v>20</v>
      </c>
      <c r="D23" s="60">
        <v>70</v>
      </c>
      <c r="E23" s="60">
        <v>70</v>
      </c>
      <c r="F23" s="60">
        <v>234000</v>
      </c>
      <c r="G23" s="60">
        <v>819000</v>
      </c>
      <c r="H23" s="60">
        <v>819000</v>
      </c>
      <c r="I23" s="9"/>
      <c r="J23" s="9"/>
      <c r="K23" s="9"/>
      <c r="L23" s="9"/>
    </row>
    <row r="24" spans="1:12" ht="15.75" customHeight="1" thickBot="1" x14ac:dyDescent="0.35">
      <c r="A24" s="9"/>
      <c r="B24" s="61" t="s">
        <v>168</v>
      </c>
      <c r="C24" s="60">
        <v>30</v>
      </c>
      <c r="D24" s="60">
        <v>70</v>
      </c>
      <c r="E24" s="60">
        <v>70</v>
      </c>
      <c r="F24" s="60">
        <v>351000</v>
      </c>
      <c r="G24" s="60">
        <v>819000</v>
      </c>
      <c r="H24" s="60">
        <v>819000</v>
      </c>
      <c r="I24" s="9"/>
      <c r="J24" s="9"/>
      <c r="K24" s="9"/>
      <c r="L24" s="9"/>
    </row>
    <row r="25" spans="1:12" ht="15.75" customHeight="1" thickBot="1" x14ac:dyDescent="0.35">
      <c r="A25" s="9"/>
      <c r="B25" s="61" t="s">
        <v>169</v>
      </c>
      <c r="C25" s="60">
        <v>30</v>
      </c>
      <c r="D25" s="60">
        <v>70</v>
      </c>
      <c r="E25" s="60">
        <v>70</v>
      </c>
      <c r="F25" s="60">
        <v>351000</v>
      </c>
      <c r="G25" s="60">
        <v>819000</v>
      </c>
      <c r="H25" s="60">
        <v>819000</v>
      </c>
      <c r="I25" s="9"/>
      <c r="J25" s="9"/>
      <c r="K25" s="9"/>
      <c r="L25" s="9"/>
    </row>
    <row r="26" spans="1:12" ht="15.75" customHeight="1" thickBot="1" x14ac:dyDescent="0.35">
      <c r="A26" s="9"/>
      <c r="B26" s="61" t="s">
        <v>170</v>
      </c>
      <c r="C26" s="60">
        <v>30</v>
      </c>
      <c r="D26" s="60">
        <v>70</v>
      </c>
      <c r="E26" s="60">
        <v>70</v>
      </c>
      <c r="F26" s="60">
        <v>351000</v>
      </c>
      <c r="G26" s="60">
        <v>819000</v>
      </c>
      <c r="H26" s="60">
        <v>819000</v>
      </c>
      <c r="I26" s="9"/>
      <c r="J26" s="9"/>
      <c r="K26" s="9"/>
      <c r="L26" s="9"/>
    </row>
    <row r="27" spans="1:12" ht="15.75" customHeight="1" thickBot="1" x14ac:dyDescent="0.35">
      <c r="A27" s="9"/>
      <c r="B27" s="61" t="s">
        <v>171</v>
      </c>
      <c r="C27" s="60">
        <v>40</v>
      </c>
      <c r="D27" s="60">
        <v>70</v>
      </c>
      <c r="E27" s="60">
        <v>70</v>
      </c>
      <c r="F27" s="60">
        <v>468000</v>
      </c>
      <c r="G27" s="60">
        <v>819000</v>
      </c>
      <c r="H27" s="60">
        <v>819000</v>
      </c>
      <c r="I27" s="9"/>
      <c r="J27" s="9"/>
      <c r="K27" s="9"/>
      <c r="L27" s="9"/>
    </row>
    <row r="28" spans="1:12" ht="15.75" customHeight="1" thickBot="1" x14ac:dyDescent="0.35">
      <c r="A28" s="9"/>
      <c r="B28" s="61" t="s">
        <v>172</v>
      </c>
      <c r="C28" s="60">
        <v>40</v>
      </c>
      <c r="D28" s="60">
        <v>70</v>
      </c>
      <c r="E28" s="60">
        <v>70</v>
      </c>
      <c r="F28" s="60">
        <v>468000</v>
      </c>
      <c r="G28" s="60">
        <v>819000</v>
      </c>
      <c r="H28" s="60">
        <v>819000</v>
      </c>
      <c r="I28" s="9"/>
      <c r="J28" s="9"/>
      <c r="K28" s="9"/>
      <c r="L28" s="9"/>
    </row>
    <row r="29" spans="1:12" ht="15.75" customHeight="1" thickBot="1" x14ac:dyDescent="0.35">
      <c r="A29" s="9"/>
      <c r="B29" s="61" t="s">
        <v>173</v>
      </c>
      <c r="C29" s="60" t="s">
        <v>108</v>
      </c>
      <c r="D29" s="60" t="s">
        <v>108</v>
      </c>
      <c r="E29" s="60" t="s">
        <v>108</v>
      </c>
      <c r="F29" s="60">
        <v>2632500</v>
      </c>
      <c r="G29" s="60">
        <v>9009000</v>
      </c>
      <c r="H29" s="60">
        <v>9828000</v>
      </c>
      <c r="I29" s="9"/>
      <c r="J29" s="9"/>
      <c r="K29" s="9"/>
      <c r="L29" s="9"/>
    </row>
    <row r="30" spans="1:12" ht="15.7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.7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.7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.7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.7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.7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.7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.75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.75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.7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.75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.7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.7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.75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.75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.7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.75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.75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.75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.75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.75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.75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.75" customHeigh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.75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.75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.75" customHeigh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.75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.75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.75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.75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.75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.75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.75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.75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.75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.7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.75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.75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.75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.75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.75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.75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5.7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5.75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.75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.75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.75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.75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.75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.75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5.75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.75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5.75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.75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.75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.75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.75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5.75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5.7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5.7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5.7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5.75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5.75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5.75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5.75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5.75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5.75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5.75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5.75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5.75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5.75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5.75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5.75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5.75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5.75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5.75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5.75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5.75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.75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5.75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5.75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5.75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5.75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5.75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5.75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5.75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5.75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5.75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5.75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5.75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5.75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5.75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5.75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5.75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5.75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5.75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5.75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5.75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5.75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5.75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5.75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5.75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5.75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5.75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5.75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5.75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5.75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5.75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5.75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5.75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5.75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5.75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5.75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5.75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5.75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5.75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5.75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5.75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5.75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5.75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5.75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5.75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5.75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5.75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5.75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5.75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5.75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5.75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5.75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5.75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5.75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5.75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5.75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5.75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5.75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5.75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5.75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5.75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5.75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5.75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5.75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5.75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5.75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.75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5.75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5.75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5.75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5.75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5.75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5.75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.75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5.75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5.75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5.75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5.75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5.75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5.75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5.75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5.75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5.75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5.75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5.75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5.75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5.75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5.75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5.75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5.75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5.75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5.75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5.75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5.75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5.75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5.75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5.75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5.75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5.75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5.75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5.75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5.75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5.75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5.75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5.75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5.75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5.75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5.75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5.75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5.75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5.75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5.75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5.75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5.75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5.75" customHeight="1" x14ac:dyDescent="0.25"/>
    <row r="222" spans="1:12" ht="15.75" customHeight="1" x14ac:dyDescent="0.25"/>
    <row r="223" spans="1:12" ht="15.75" customHeight="1" x14ac:dyDescent="0.25"/>
    <row r="224" spans="1:12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B2:C2"/>
    <mergeCell ref="D2:F2"/>
    <mergeCell ref="G2:I2"/>
    <mergeCell ref="J2:L2"/>
    <mergeCell ref="B15:B16"/>
    <mergeCell ref="C15:E15"/>
    <mergeCell ref="F15:H1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0"/>
  <sheetViews>
    <sheetView workbookViewId="0">
      <selection activeCell="C15" sqref="C15"/>
    </sheetView>
  </sheetViews>
  <sheetFormatPr defaultColWidth="12.69921875" defaultRowHeight="15" customHeight="1" x14ac:dyDescent="0.25"/>
  <cols>
    <col min="1" max="1" width="7.69921875" customWidth="1"/>
    <col min="2" max="2" width="32" customWidth="1"/>
    <col min="3" max="3" width="30.5" customWidth="1"/>
    <col min="4" max="4" width="46" customWidth="1"/>
    <col min="5" max="6" width="7.69921875" customWidth="1"/>
  </cols>
  <sheetData>
    <row r="1" spans="2:4" ht="14.25" customHeight="1" x14ac:dyDescent="0.3">
      <c r="D1" s="11" t="s">
        <v>32</v>
      </c>
    </row>
    <row r="2" spans="2:4" ht="28.8" x14ac:dyDescent="0.3">
      <c r="B2" s="15" t="s">
        <v>33</v>
      </c>
      <c r="C2" s="12" t="s">
        <v>106</v>
      </c>
      <c r="D2" s="50" t="s">
        <v>183</v>
      </c>
    </row>
    <row r="3" spans="2:4" ht="14.4" x14ac:dyDescent="0.3">
      <c r="B3" s="15" t="s">
        <v>34</v>
      </c>
      <c r="C3" s="12" t="s">
        <v>108</v>
      </c>
      <c r="D3" s="64"/>
    </row>
    <row r="4" spans="2:4" ht="14.25" customHeight="1" x14ac:dyDescent="0.3">
      <c r="B4" s="16" t="s">
        <v>35</v>
      </c>
      <c r="C4" s="12">
        <v>0</v>
      </c>
      <c r="D4" s="64"/>
    </row>
    <row r="5" spans="2:4" ht="14.25" customHeight="1" x14ac:dyDescent="0.3">
      <c r="B5" s="16" t="s">
        <v>36</v>
      </c>
      <c r="C5" s="12">
        <v>0</v>
      </c>
      <c r="D5" s="64"/>
    </row>
    <row r="6" spans="2:4" ht="14.25" customHeight="1" x14ac:dyDescent="0.3">
      <c r="B6" s="16" t="s">
        <v>37</v>
      </c>
      <c r="C6" s="12">
        <v>0</v>
      </c>
      <c r="D6" s="64"/>
    </row>
    <row r="7" spans="2:4" ht="14.25" customHeight="1" x14ac:dyDescent="0.3">
      <c r="B7" s="15" t="s">
        <v>38</v>
      </c>
      <c r="C7" s="12" t="s">
        <v>107</v>
      </c>
      <c r="D7" s="50" t="s">
        <v>184</v>
      </c>
    </row>
    <row r="8" spans="2:4" ht="14.25" customHeight="1" x14ac:dyDescent="0.3">
      <c r="B8" s="15" t="s">
        <v>39</v>
      </c>
      <c r="C8" s="12" t="s">
        <v>108</v>
      </c>
      <c r="D8" s="64"/>
    </row>
    <row r="9" spans="2:4" ht="57.6" x14ac:dyDescent="0.3">
      <c r="B9" s="15" t="s">
        <v>40</v>
      </c>
      <c r="C9" s="12">
        <v>0</v>
      </c>
      <c r="D9" s="64" t="s">
        <v>185</v>
      </c>
    </row>
    <row r="10" spans="2:4" ht="14.4" x14ac:dyDescent="0.3">
      <c r="B10" s="15" t="s">
        <v>41</v>
      </c>
      <c r="C10" s="12" t="s">
        <v>109</v>
      </c>
      <c r="D10" s="65" t="s">
        <v>186</v>
      </c>
    </row>
    <row r="11" spans="2:4" ht="14.25" customHeight="1" x14ac:dyDescent="0.3">
      <c r="B11" s="15" t="s">
        <v>42</v>
      </c>
      <c r="C11" s="12" t="s">
        <v>110</v>
      </c>
      <c r="D11" s="64"/>
    </row>
    <row r="12" spans="2:4" ht="14.25" customHeight="1" x14ac:dyDescent="0.3">
      <c r="B12" s="15" t="s">
        <v>43</v>
      </c>
      <c r="C12" s="12" t="s">
        <v>111</v>
      </c>
      <c r="D12" s="64"/>
    </row>
    <row r="13" spans="2:4" ht="14.25" customHeight="1" x14ac:dyDescent="0.3">
      <c r="B13" s="15" t="s">
        <v>44</v>
      </c>
      <c r="C13" s="12"/>
      <c r="D13" s="64"/>
    </row>
    <row r="14" spans="2:4" ht="30.45" customHeight="1" x14ac:dyDescent="0.3">
      <c r="B14" s="15" t="s">
        <v>45</v>
      </c>
      <c r="C14" s="50" t="s">
        <v>112</v>
      </c>
      <c r="D14" s="64"/>
    </row>
    <row r="15" spans="2:4" ht="84.6" x14ac:dyDescent="0.3">
      <c r="B15" s="15" t="s">
        <v>46</v>
      </c>
      <c r="C15" s="51" t="s">
        <v>139</v>
      </c>
      <c r="D15" s="66" t="s">
        <v>187</v>
      </c>
    </row>
    <row r="16" spans="2:4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D10" r:id="rId1"/>
  </hyperlinks>
  <pageMargins left="0.7" right="0.7" top="0.75" bottom="0.75" header="0" footer="0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0"/>
  <sheetViews>
    <sheetView workbookViewId="0">
      <selection activeCell="F13" sqref="F13"/>
    </sheetView>
  </sheetViews>
  <sheetFormatPr defaultColWidth="12.69921875" defaultRowHeight="15" customHeight="1" x14ac:dyDescent="0.25"/>
  <cols>
    <col min="1" max="1" width="7.69921875" customWidth="1"/>
    <col min="2" max="2" width="17.69921875" customWidth="1"/>
    <col min="3" max="5" width="15.19921875" customWidth="1"/>
    <col min="6" max="6" width="7.69921875" customWidth="1"/>
  </cols>
  <sheetData>
    <row r="1" spans="2:5" ht="14.25" customHeight="1" x14ac:dyDescent="0.25"/>
    <row r="2" spans="2:5" ht="14.25" customHeight="1" x14ac:dyDescent="0.3">
      <c r="B2" s="19" t="s">
        <v>47</v>
      </c>
      <c r="C2" s="20" t="s">
        <v>48</v>
      </c>
      <c r="D2" s="20" t="s">
        <v>49</v>
      </c>
      <c r="E2" s="21" t="s">
        <v>50</v>
      </c>
    </row>
    <row r="3" spans="2:5" ht="14.25" customHeight="1" x14ac:dyDescent="0.3">
      <c r="B3" s="57" t="s">
        <v>140</v>
      </c>
      <c r="C3" s="17">
        <v>1</v>
      </c>
      <c r="D3" s="17">
        <v>10000</v>
      </c>
      <c r="E3" s="23">
        <v>10000</v>
      </c>
    </row>
    <row r="4" spans="2:5" ht="14.25" customHeight="1" x14ac:dyDescent="0.3">
      <c r="B4" s="57" t="s">
        <v>141</v>
      </c>
      <c r="C4" s="17">
        <v>1</v>
      </c>
      <c r="D4" s="17">
        <v>15000</v>
      </c>
      <c r="E4" s="23">
        <v>15000</v>
      </c>
    </row>
    <row r="5" spans="2:5" ht="14.25" customHeight="1" x14ac:dyDescent="0.3">
      <c r="B5" s="57" t="s">
        <v>142</v>
      </c>
      <c r="C5" s="17">
        <v>4</v>
      </c>
      <c r="D5" s="17">
        <v>20000</v>
      </c>
      <c r="E5" s="23">
        <v>80000</v>
      </c>
    </row>
    <row r="6" spans="2:5" ht="14.25" customHeight="1" x14ac:dyDescent="0.3">
      <c r="B6" s="57" t="s">
        <v>143</v>
      </c>
      <c r="C6" s="17">
        <v>1</v>
      </c>
      <c r="D6" s="17">
        <v>7000</v>
      </c>
      <c r="E6" s="23">
        <v>7000</v>
      </c>
    </row>
    <row r="7" spans="2:5" ht="14.25" customHeight="1" x14ac:dyDescent="0.3">
      <c r="B7" s="22" t="s">
        <v>144</v>
      </c>
      <c r="C7" s="17">
        <v>1</v>
      </c>
      <c r="D7" s="17">
        <v>1500</v>
      </c>
      <c r="E7" s="23">
        <v>1500</v>
      </c>
    </row>
    <row r="8" spans="2:5" ht="14.25" customHeight="1" x14ac:dyDescent="0.3">
      <c r="B8" s="57" t="s">
        <v>145</v>
      </c>
      <c r="C8" s="17">
        <v>2</v>
      </c>
      <c r="D8" s="17">
        <v>1000</v>
      </c>
      <c r="E8" s="23">
        <v>2000</v>
      </c>
    </row>
    <row r="9" spans="2:5" ht="14.25" customHeight="1" x14ac:dyDescent="0.3">
      <c r="B9" s="57" t="s">
        <v>146</v>
      </c>
      <c r="C9" s="17">
        <v>2</v>
      </c>
      <c r="D9" s="17">
        <v>2500</v>
      </c>
      <c r="E9" s="23">
        <v>5000</v>
      </c>
    </row>
    <row r="10" spans="2:5" ht="14.25" customHeight="1" x14ac:dyDescent="0.3">
      <c r="B10" s="57" t="s">
        <v>147</v>
      </c>
      <c r="C10" s="17">
        <v>2</v>
      </c>
      <c r="D10" s="17">
        <v>100000</v>
      </c>
      <c r="E10" s="23">
        <v>200000</v>
      </c>
    </row>
    <row r="11" spans="2:5" ht="14.25" customHeight="1" x14ac:dyDescent="0.3">
      <c r="B11" s="57" t="s">
        <v>148</v>
      </c>
      <c r="C11" s="17">
        <v>6</v>
      </c>
      <c r="D11" s="17">
        <v>700</v>
      </c>
      <c r="E11" s="23">
        <v>4200</v>
      </c>
    </row>
    <row r="12" spans="2:5" ht="14.25" customHeight="1" x14ac:dyDescent="0.3">
      <c r="B12" s="57" t="s">
        <v>149</v>
      </c>
      <c r="C12" s="17">
        <v>6</v>
      </c>
      <c r="D12" s="17">
        <v>2500</v>
      </c>
      <c r="E12" s="23">
        <v>15000</v>
      </c>
    </row>
    <row r="13" spans="2:5" ht="14.25" customHeight="1" x14ac:dyDescent="0.3">
      <c r="B13" s="57" t="s">
        <v>150</v>
      </c>
      <c r="C13" s="17">
        <v>3</v>
      </c>
      <c r="D13" s="17">
        <v>50000</v>
      </c>
      <c r="E13" s="23">
        <v>150000</v>
      </c>
    </row>
    <row r="14" spans="2:5" ht="14.25" customHeight="1" x14ac:dyDescent="0.3">
      <c r="B14" s="57" t="s">
        <v>151</v>
      </c>
      <c r="C14" s="17">
        <v>1</v>
      </c>
      <c r="D14" s="17">
        <v>10000</v>
      </c>
      <c r="E14" s="23">
        <v>10000</v>
      </c>
    </row>
    <row r="15" spans="2:5" ht="14.25" customHeight="1" x14ac:dyDescent="0.3">
      <c r="B15" s="57" t="s">
        <v>152</v>
      </c>
      <c r="C15" s="51" t="s">
        <v>118</v>
      </c>
      <c r="D15" s="17">
        <v>30000</v>
      </c>
      <c r="E15" s="23">
        <v>30000</v>
      </c>
    </row>
    <row r="16" spans="2:5" ht="14.25" customHeight="1" x14ac:dyDescent="0.3">
      <c r="B16" s="57" t="s">
        <v>153</v>
      </c>
      <c r="C16" s="17"/>
      <c r="D16" s="17">
        <v>20000</v>
      </c>
      <c r="E16" s="23">
        <v>20000</v>
      </c>
    </row>
    <row r="17" spans="2:5" ht="14.25" customHeight="1" x14ac:dyDescent="0.3">
      <c r="B17" s="22"/>
      <c r="C17" s="17"/>
      <c r="D17" s="17"/>
      <c r="E17" s="23"/>
    </row>
    <row r="18" spans="2:5" ht="14.25" customHeight="1" x14ac:dyDescent="0.3">
      <c r="B18" s="22"/>
      <c r="C18" s="17"/>
      <c r="D18" s="17"/>
      <c r="E18" s="23"/>
    </row>
    <row r="19" spans="2:5" ht="14.25" customHeight="1" x14ac:dyDescent="0.3">
      <c r="B19" s="22"/>
      <c r="C19" s="17"/>
      <c r="D19" s="17"/>
      <c r="E19" s="23"/>
    </row>
    <row r="20" spans="2:5" ht="14.25" customHeight="1" x14ac:dyDescent="0.3">
      <c r="B20" s="22"/>
      <c r="C20" s="17"/>
      <c r="D20" s="17"/>
      <c r="E20" s="23"/>
    </row>
    <row r="21" spans="2:5" ht="14.25" customHeight="1" x14ac:dyDescent="0.3">
      <c r="B21" s="22"/>
      <c r="C21" s="17"/>
      <c r="D21" s="17"/>
      <c r="E21" s="23"/>
    </row>
    <row r="22" spans="2:5" ht="14.25" customHeight="1" x14ac:dyDescent="0.3">
      <c r="B22" s="58"/>
      <c r="C22" s="25"/>
      <c r="D22" s="25"/>
      <c r="E22" s="26"/>
    </row>
    <row r="23" spans="2:5" ht="14.25" customHeight="1" x14ac:dyDescent="0.3">
      <c r="B23" s="137" t="s">
        <v>51</v>
      </c>
      <c r="C23" s="121"/>
      <c r="D23" s="121"/>
      <c r="E23" s="27">
        <v>549700</v>
      </c>
    </row>
    <row r="24" spans="2:5" ht="14.25" customHeight="1" x14ac:dyDescent="0.25"/>
    <row r="25" spans="2:5" ht="14.25" customHeight="1" x14ac:dyDescent="0.25"/>
    <row r="26" spans="2:5" ht="14.25" customHeight="1" x14ac:dyDescent="0.25"/>
    <row r="27" spans="2:5" ht="14.25" customHeight="1" x14ac:dyDescent="0.25"/>
    <row r="28" spans="2:5" ht="14.25" customHeight="1" x14ac:dyDescent="0.25"/>
    <row r="29" spans="2:5" ht="14.25" customHeight="1" x14ac:dyDescent="0.25"/>
    <row r="30" spans="2:5" ht="14.25" customHeight="1" x14ac:dyDescent="0.25"/>
    <row r="31" spans="2:5" ht="14.25" customHeight="1" x14ac:dyDescent="0.25"/>
    <row r="32" spans="2:5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23:D23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72"/>
  <sheetViews>
    <sheetView topLeftCell="A22" workbookViewId="0">
      <selection activeCell="B85" sqref="B85:N97"/>
    </sheetView>
  </sheetViews>
  <sheetFormatPr defaultColWidth="12.69921875" defaultRowHeight="15" customHeight="1" x14ac:dyDescent="0.25"/>
  <cols>
    <col min="1" max="1" width="7.69921875" customWidth="1"/>
    <col min="2" max="6" width="17.3984375" customWidth="1"/>
  </cols>
  <sheetData>
    <row r="1" spans="2:8" ht="14.25" customHeight="1" x14ac:dyDescent="0.25"/>
    <row r="2" spans="2:8" ht="14.25" customHeight="1" x14ac:dyDescent="0.3">
      <c r="B2" s="152" t="s">
        <v>52</v>
      </c>
      <c r="C2" s="153" t="s">
        <v>53</v>
      </c>
      <c r="D2" s="126"/>
      <c r="E2" s="153" t="s">
        <v>54</v>
      </c>
      <c r="F2" s="126"/>
    </row>
    <row r="3" spans="2:8" ht="14.25" customHeight="1" x14ac:dyDescent="0.3">
      <c r="B3" s="146"/>
      <c r="C3" s="28" t="s">
        <v>47</v>
      </c>
      <c r="D3" s="28" t="s">
        <v>55</v>
      </c>
      <c r="E3" s="28" t="s">
        <v>47</v>
      </c>
      <c r="F3" s="28" t="s">
        <v>55</v>
      </c>
    </row>
    <row r="4" spans="2:8" ht="14.25" customHeight="1" x14ac:dyDescent="0.3">
      <c r="B4" s="155" t="s">
        <v>56</v>
      </c>
      <c r="C4" s="138" t="s">
        <v>238</v>
      </c>
      <c r="D4" s="29">
        <v>250</v>
      </c>
      <c r="E4" s="138" t="s">
        <v>239</v>
      </c>
      <c r="F4" s="141">
        <f>46800/(15*26)</f>
        <v>120</v>
      </c>
    </row>
    <row r="5" spans="2:8" ht="14.25" customHeight="1" x14ac:dyDescent="0.3">
      <c r="B5" s="145"/>
      <c r="C5" s="139"/>
      <c r="D5" s="29"/>
      <c r="E5" s="139"/>
      <c r="F5" s="142"/>
    </row>
    <row r="6" spans="2:8" ht="14.25" customHeight="1" x14ac:dyDescent="0.3">
      <c r="B6" s="145"/>
      <c r="C6" s="139"/>
      <c r="D6" s="29"/>
      <c r="E6" s="139"/>
      <c r="F6" s="142"/>
      <c r="H6" s="50" t="s">
        <v>236</v>
      </c>
    </row>
    <row r="7" spans="2:8" ht="14.25" customHeight="1" x14ac:dyDescent="0.3">
      <c r="B7" s="145"/>
      <c r="C7" s="139"/>
      <c r="D7" s="29"/>
      <c r="E7" s="139"/>
      <c r="F7" s="142"/>
    </row>
    <row r="8" spans="2:8" ht="14.25" customHeight="1" x14ac:dyDescent="0.3">
      <c r="B8" s="146"/>
      <c r="C8" s="140"/>
      <c r="D8" s="29"/>
      <c r="E8" s="140"/>
      <c r="F8" s="143"/>
    </row>
    <row r="9" spans="2:8" ht="14.25" customHeight="1" x14ac:dyDescent="0.3">
      <c r="B9" s="30" t="s">
        <v>57</v>
      </c>
      <c r="C9" s="147" t="s">
        <v>240</v>
      </c>
      <c r="D9" s="130"/>
      <c r="E9" s="130"/>
      <c r="F9" s="126"/>
    </row>
    <row r="10" spans="2:8" ht="14.25" customHeight="1" x14ac:dyDescent="0.3">
      <c r="B10" s="30" t="s">
        <v>58</v>
      </c>
      <c r="C10" s="148">
        <v>370</v>
      </c>
      <c r="D10" s="130"/>
      <c r="E10" s="130"/>
      <c r="F10" s="126"/>
    </row>
    <row r="11" spans="2:8" ht="14.25" customHeight="1" x14ac:dyDescent="0.3">
      <c r="B11" s="30" t="s">
        <v>59</v>
      </c>
      <c r="C11" s="148">
        <v>450</v>
      </c>
      <c r="D11" s="130"/>
      <c r="E11" s="130"/>
      <c r="F11" s="126"/>
    </row>
    <row r="12" spans="2:8" ht="14.25" customHeight="1" x14ac:dyDescent="0.3">
      <c r="B12" s="30" t="s">
        <v>60</v>
      </c>
      <c r="C12" s="149">
        <f>(C11-C10)/C11*100</f>
        <v>17.777777777777779</v>
      </c>
      <c r="D12" s="150"/>
      <c r="E12" s="150"/>
      <c r="F12" s="151"/>
      <c r="H12">
        <f>(C11-C10)/C11*100</f>
        <v>17.777777777777779</v>
      </c>
    </row>
    <row r="13" spans="2:8" ht="14.25" customHeight="1" x14ac:dyDescent="0.25"/>
    <row r="14" spans="2:8" ht="14.25" customHeight="1" x14ac:dyDescent="0.3">
      <c r="B14" s="152" t="s">
        <v>52</v>
      </c>
      <c r="C14" s="153" t="s">
        <v>53</v>
      </c>
      <c r="D14" s="126"/>
      <c r="E14" s="153" t="s">
        <v>54</v>
      </c>
      <c r="F14" s="126"/>
    </row>
    <row r="15" spans="2:8" ht="14.25" customHeight="1" x14ac:dyDescent="0.3">
      <c r="B15" s="146"/>
      <c r="C15" s="28" t="s">
        <v>47</v>
      </c>
      <c r="D15" s="28" t="s">
        <v>55</v>
      </c>
      <c r="E15" s="28" t="s">
        <v>47</v>
      </c>
      <c r="F15" s="28" t="s">
        <v>55</v>
      </c>
    </row>
    <row r="16" spans="2:8" ht="28.8" customHeight="1" x14ac:dyDescent="0.3">
      <c r="B16" s="155" t="s">
        <v>61</v>
      </c>
      <c r="C16" s="138" t="s">
        <v>232</v>
      </c>
      <c r="D16" s="29">
        <v>250</v>
      </c>
      <c r="E16" s="138" t="s">
        <v>239</v>
      </c>
      <c r="F16" s="29">
        <v>120</v>
      </c>
    </row>
    <row r="17" spans="2:9" ht="14.25" customHeight="1" x14ac:dyDescent="0.3">
      <c r="B17" s="145"/>
      <c r="C17" s="139"/>
      <c r="D17" s="29"/>
      <c r="E17" s="139"/>
      <c r="F17" s="29"/>
    </row>
    <row r="18" spans="2:9" ht="14.25" customHeight="1" x14ac:dyDescent="0.3">
      <c r="B18" s="145"/>
      <c r="C18" s="139"/>
      <c r="D18" s="29"/>
      <c r="E18" s="139"/>
      <c r="F18" s="29"/>
    </row>
    <row r="19" spans="2:9" ht="14.25" customHeight="1" x14ac:dyDescent="0.3">
      <c r="B19" s="145"/>
      <c r="C19" s="139"/>
      <c r="D19" s="29"/>
      <c r="E19" s="139"/>
      <c r="F19" s="29"/>
    </row>
    <row r="20" spans="2:9" ht="14.25" customHeight="1" x14ac:dyDescent="0.3">
      <c r="B20" s="146"/>
      <c r="C20" s="140"/>
      <c r="D20" s="29"/>
      <c r="E20" s="29"/>
      <c r="F20" s="29"/>
    </row>
    <row r="21" spans="2:9" ht="14.25" customHeight="1" x14ac:dyDescent="0.3">
      <c r="B21" s="30" t="s">
        <v>57</v>
      </c>
      <c r="C21" s="147" t="s">
        <v>241</v>
      </c>
      <c r="D21" s="130"/>
      <c r="E21" s="130"/>
      <c r="F21" s="126"/>
    </row>
    <row r="22" spans="2:9" ht="14.25" customHeight="1" x14ac:dyDescent="0.3">
      <c r="B22" s="30" t="s">
        <v>58</v>
      </c>
      <c r="C22" s="148">
        <v>270</v>
      </c>
      <c r="D22" s="130"/>
      <c r="E22" s="130"/>
      <c r="F22" s="126"/>
    </row>
    <row r="23" spans="2:9" ht="14.25" customHeight="1" x14ac:dyDescent="0.3">
      <c r="B23" s="30" t="s">
        <v>59</v>
      </c>
      <c r="C23" s="148">
        <v>500</v>
      </c>
      <c r="D23" s="130"/>
      <c r="E23" s="130"/>
      <c r="F23" s="126"/>
    </row>
    <row r="24" spans="2:9" ht="14.25" customHeight="1" x14ac:dyDescent="0.3">
      <c r="B24" s="30" t="s">
        <v>60</v>
      </c>
      <c r="C24" s="149">
        <f>(C23-C22)/C23*100</f>
        <v>46</v>
      </c>
      <c r="D24" s="150"/>
      <c r="E24" s="150"/>
      <c r="F24" s="151"/>
      <c r="H24">
        <f>(C23-C22)/C23*100</f>
        <v>46</v>
      </c>
    </row>
    <row r="25" spans="2:9" ht="14.25" customHeight="1" x14ac:dyDescent="0.25"/>
    <row r="26" spans="2:9" ht="14.25" customHeight="1" x14ac:dyDescent="0.25">
      <c r="H26" s="89"/>
      <c r="I26" s="89"/>
    </row>
    <row r="27" spans="2:9" ht="14.25" customHeight="1" x14ac:dyDescent="0.25"/>
    <row r="28" spans="2:9" ht="14.25" customHeight="1" x14ac:dyDescent="0.25"/>
    <row r="29" spans="2:9" ht="14.25" customHeight="1" x14ac:dyDescent="0.3">
      <c r="B29" s="152" t="s">
        <v>52</v>
      </c>
      <c r="C29" s="153" t="s">
        <v>53</v>
      </c>
      <c r="D29" s="126"/>
      <c r="E29" s="153" t="s">
        <v>54</v>
      </c>
      <c r="F29" s="126"/>
    </row>
    <row r="30" spans="2:9" ht="14.25" customHeight="1" x14ac:dyDescent="0.3">
      <c r="B30" s="146"/>
      <c r="C30" s="28" t="s">
        <v>47</v>
      </c>
      <c r="D30" s="28" t="s">
        <v>55</v>
      </c>
      <c r="E30" s="28" t="s">
        <v>47</v>
      </c>
      <c r="F30" s="28" t="s">
        <v>55</v>
      </c>
    </row>
    <row r="31" spans="2:9" ht="28.8" x14ac:dyDescent="0.3">
      <c r="B31" s="144" t="s">
        <v>233</v>
      </c>
      <c r="C31" s="96" t="s">
        <v>234</v>
      </c>
      <c r="D31" s="29">
        <v>250</v>
      </c>
      <c r="E31" s="138" t="s">
        <v>239</v>
      </c>
      <c r="F31" s="29">
        <v>120</v>
      </c>
    </row>
    <row r="32" spans="2:9" ht="14.25" customHeight="1" x14ac:dyDescent="0.3">
      <c r="B32" s="145"/>
      <c r="C32" s="29"/>
      <c r="D32" s="29"/>
      <c r="E32" s="139"/>
      <c r="F32" s="29"/>
    </row>
    <row r="33" spans="2:6" ht="14.25" customHeight="1" x14ac:dyDescent="0.3">
      <c r="B33" s="145"/>
      <c r="C33" s="29"/>
      <c r="D33" s="29"/>
      <c r="E33" s="139"/>
      <c r="F33" s="29"/>
    </row>
    <row r="34" spans="2:6" ht="14.25" customHeight="1" x14ac:dyDescent="0.3">
      <c r="B34" s="145"/>
      <c r="C34" s="29"/>
      <c r="D34" s="29"/>
      <c r="E34" s="139"/>
      <c r="F34" s="29"/>
    </row>
    <row r="35" spans="2:6" ht="14.25" customHeight="1" x14ac:dyDescent="0.3">
      <c r="B35" s="146"/>
      <c r="C35" s="29"/>
      <c r="D35" s="29"/>
      <c r="E35" s="29"/>
      <c r="F35" s="29"/>
    </row>
    <row r="36" spans="2:6" ht="14.25" customHeight="1" x14ac:dyDescent="0.3">
      <c r="B36" s="30" t="s">
        <v>57</v>
      </c>
      <c r="C36" s="147" t="s">
        <v>242</v>
      </c>
      <c r="D36" s="130"/>
      <c r="E36" s="130"/>
      <c r="F36" s="126"/>
    </row>
    <row r="37" spans="2:6" ht="14.25" customHeight="1" x14ac:dyDescent="0.3">
      <c r="B37" s="30" t="s">
        <v>58</v>
      </c>
      <c r="C37" s="148">
        <v>370</v>
      </c>
      <c r="D37" s="130"/>
      <c r="E37" s="130"/>
      <c r="F37" s="126"/>
    </row>
    <row r="38" spans="2:6" ht="14.25" customHeight="1" x14ac:dyDescent="0.3">
      <c r="B38" s="30" t="s">
        <v>59</v>
      </c>
      <c r="C38" s="148">
        <v>700</v>
      </c>
      <c r="D38" s="130"/>
      <c r="E38" s="130"/>
      <c r="F38" s="126"/>
    </row>
    <row r="39" spans="2:6" ht="14.25" customHeight="1" x14ac:dyDescent="0.3">
      <c r="B39" s="30" t="s">
        <v>60</v>
      </c>
      <c r="C39" s="149">
        <f>(C38-C37)/C38*100</f>
        <v>47.142857142857139</v>
      </c>
      <c r="D39" s="150"/>
      <c r="E39" s="150"/>
      <c r="F39" s="151"/>
    </row>
    <row r="40" spans="2:6" ht="14.25" customHeight="1" x14ac:dyDescent="0.25"/>
    <row r="41" spans="2:6" ht="14.25" customHeight="1" x14ac:dyDescent="0.25"/>
    <row r="42" spans="2:6" ht="14.25" customHeight="1" x14ac:dyDescent="0.25"/>
    <row r="43" spans="2:6" ht="14.25" customHeight="1" x14ac:dyDescent="0.3">
      <c r="B43" s="152" t="s">
        <v>52</v>
      </c>
      <c r="C43" s="153" t="s">
        <v>53</v>
      </c>
      <c r="D43" s="126"/>
      <c r="E43" s="153" t="s">
        <v>54</v>
      </c>
      <c r="F43" s="126"/>
    </row>
    <row r="44" spans="2:6" ht="14.25" customHeight="1" x14ac:dyDescent="0.3">
      <c r="B44" s="146"/>
      <c r="C44" s="28" t="s">
        <v>47</v>
      </c>
      <c r="D44" s="28" t="s">
        <v>55</v>
      </c>
      <c r="E44" s="28" t="s">
        <v>47</v>
      </c>
      <c r="F44" s="28" t="s">
        <v>55</v>
      </c>
    </row>
    <row r="45" spans="2:6" ht="43.2" x14ac:dyDescent="0.3">
      <c r="B45" s="144" t="s">
        <v>235</v>
      </c>
      <c r="C45" s="96" t="s">
        <v>237</v>
      </c>
      <c r="D45" s="29">
        <v>250</v>
      </c>
      <c r="E45" s="138" t="s">
        <v>239</v>
      </c>
      <c r="F45" s="29">
        <v>120</v>
      </c>
    </row>
    <row r="46" spans="2:6" ht="14.25" customHeight="1" x14ac:dyDescent="0.3">
      <c r="B46" s="145"/>
      <c r="C46" s="29"/>
      <c r="D46" s="29"/>
      <c r="E46" s="139"/>
      <c r="F46" s="29"/>
    </row>
    <row r="47" spans="2:6" ht="14.25" customHeight="1" x14ac:dyDescent="0.3">
      <c r="B47" s="145"/>
      <c r="C47" s="29"/>
      <c r="D47" s="29"/>
      <c r="E47" s="139"/>
      <c r="F47" s="29"/>
    </row>
    <row r="48" spans="2:6" ht="14.25" customHeight="1" x14ac:dyDescent="0.3">
      <c r="B48" s="145"/>
      <c r="C48" s="29"/>
      <c r="D48" s="29"/>
      <c r="E48" s="139"/>
      <c r="F48" s="29"/>
    </row>
    <row r="49" spans="2:7" ht="14.25" customHeight="1" x14ac:dyDescent="0.3">
      <c r="B49" s="146"/>
      <c r="C49" s="29"/>
      <c r="D49" s="29"/>
      <c r="E49" s="29"/>
      <c r="F49" s="29"/>
    </row>
    <row r="50" spans="2:7" ht="14.25" customHeight="1" x14ac:dyDescent="0.3">
      <c r="B50" s="30" t="s">
        <v>57</v>
      </c>
      <c r="C50" s="147" t="s">
        <v>243</v>
      </c>
      <c r="D50" s="130"/>
      <c r="E50" s="130"/>
      <c r="F50" s="126"/>
    </row>
    <row r="51" spans="2:7" ht="14.25" customHeight="1" x14ac:dyDescent="0.3">
      <c r="B51" s="30" t="s">
        <v>58</v>
      </c>
      <c r="C51" s="148">
        <v>370</v>
      </c>
      <c r="D51" s="130"/>
      <c r="E51" s="130"/>
      <c r="F51" s="126"/>
    </row>
    <row r="52" spans="2:7" ht="14.25" customHeight="1" x14ac:dyDescent="0.3">
      <c r="B52" s="30" t="s">
        <v>59</v>
      </c>
      <c r="C52" s="148">
        <v>800</v>
      </c>
      <c r="D52" s="130"/>
      <c r="E52" s="130"/>
      <c r="F52" s="126"/>
    </row>
    <row r="53" spans="2:7" ht="14.25" customHeight="1" x14ac:dyDescent="0.3">
      <c r="B53" s="30" t="s">
        <v>60</v>
      </c>
      <c r="C53" s="149">
        <f>(C52-C51)/C52*100</f>
        <v>53.75</v>
      </c>
      <c r="D53" s="150"/>
      <c r="E53" s="150"/>
      <c r="F53" s="151"/>
    </row>
    <row r="54" spans="2:7" ht="14.25" customHeight="1" x14ac:dyDescent="0.25"/>
    <row r="55" spans="2:7" ht="14.25" customHeight="1" x14ac:dyDescent="0.25"/>
    <row r="56" spans="2:7" ht="14.25" customHeight="1" x14ac:dyDescent="0.25"/>
    <row r="57" spans="2:7" ht="14.25" customHeight="1" thickBot="1" x14ac:dyDescent="0.3">
      <c r="B57" s="90" t="s">
        <v>212</v>
      </c>
      <c r="C57" s="89"/>
      <c r="D57" s="89"/>
      <c r="E57" s="89"/>
      <c r="F57" s="89"/>
      <c r="G57" s="89"/>
    </row>
    <row r="58" spans="2:7" ht="14.25" customHeight="1" thickBot="1" x14ac:dyDescent="0.3">
      <c r="B58" s="91" t="s">
        <v>213</v>
      </c>
      <c r="C58" s="92" t="s">
        <v>214</v>
      </c>
      <c r="D58" s="92" t="s">
        <v>215</v>
      </c>
      <c r="E58" s="92" t="s">
        <v>216</v>
      </c>
      <c r="F58" s="92" t="s">
        <v>217</v>
      </c>
      <c r="G58" s="92" t="s">
        <v>218</v>
      </c>
    </row>
    <row r="59" spans="2:7" ht="14.25" customHeight="1" thickBot="1" x14ac:dyDescent="0.3">
      <c r="B59" s="93" t="s">
        <v>219</v>
      </c>
      <c r="C59" s="92" t="s">
        <v>220</v>
      </c>
      <c r="D59" s="92" t="s">
        <v>221</v>
      </c>
      <c r="E59" s="92">
        <v>180</v>
      </c>
      <c r="F59" s="92">
        <v>500</v>
      </c>
      <c r="G59" s="92" t="s">
        <v>222</v>
      </c>
    </row>
    <row r="60" spans="2:7" ht="14.25" customHeight="1" thickBot="1" x14ac:dyDescent="0.3">
      <c r="B60" s="94" t="s">
        <v>223</v>
      </c>
      <c r="C60" s="95" t="s">
        <v>224</v>
      </c>
      <c r="D60" s="95" t="s">
        <v>221</v>
      </c>
      <c r="E60" s="95">
        <v>200</v>
      </c>
      <c r="F60" s="95">
        <v>600</v>
      </c>
      <c r="G60" s="95" t="s">
        <v>225</v>
      </c>
    </row>
    <row r="61" spans="2:7" ht="14.25" customHeight="1" thickBot="1" x14ac:dyDescent="0.3">
      <c r="B61" s="94" t="s">
        <v>226</v>
      </c>
      <c r="C61" s="95" t="s">
        <v>227</v>
      </c>
      <c r="D61" s="95" t="s">
        <v>221</v>
      </c>
      <c r="E61" s="95">
        <v>280</v>
      </c>
      <c r="F61" s="95">
        <v>800</v>
      </c>
      <c r="G61" s="95" t="s">
        <v>228</v>
      </c>
    </row>
    <row r="62" spans="2:7" ht="14.25" customHeight="1" thickBot="1" x14ac:dyDescent="0.3">
      <c r="B62" s="94" t="s">
        <v>229</v>
      </c>
      <c r="C62" s="95" t="s">
        <v>230</v>
      </c>
      <c r="D62" s="95" t="s">
        <v>221</v>
      </c>
      <c r="E62" s="95">
        <v>320</v>
      </c>
      <c r="F62" s="95">
        <v>900</v>
      </c>
      <c r="G62" s="95" t="s">
        <v>231</v>
      </c>
    </row>
    <row r="63" spans="2:7" ht="14.25" customHeight="1" x14ac:dyDescent="0.25"/>
    <row r="64" spans="2:7" ht="14.25" customHeight="1" x14ac:dyDescent="0.25"/>
    <row r="65" spans="2:9" ht="14.25" customHeight="1" x14ac:dyDescent="0.25"/>
    <row r="66" spans="2:9" ht="14.25" customHeight="1" x14ac:dyDescent="0.25"/>
    <row r="67" spans="2:9" ht="14.25" customHeight="1" thickBot="1" x14ac:dyDescent="0.3">
      <c r="B67" s="154" t="s">
        <v>188</v>
      </c>
      <c r="C67" s="154"/>
      <c r="D67" s="154"/>
      <c r="E67" s="154"/>
      <c r="F67" s="154"/>
      <c r="G67" s="154"/>
      <c r="H67" s="154"/>
      <c r="I67" s="154"/>
    </row>
    <row r="68" spans="2:9" ht="14.25" customHeight="1" thickBot="1" x14ac:dyDescent="0.3">
      <c r="B68" s="67" t="s">
        <v>189</v>
      </c>
      <c r="C68" s="68" t="s">
        <v>190</v>
      </c>
      <c r="D68" s="68" t="s">
        <v>191</v>
      </c>
      <c r="E68" s="68" t="s">
        <v>192</v>
      </c>
      <c r="F68" s="68" t="s">
        <v>193</v>
      </c>
      <c r="G68" s="68" t="s">
        <v>190</v>
      </c>
      <c r="H68" s="68" t="s">
        <v>194</v>
      </c>
      <c r="I68" s="68" t="s">
        <v>195</v>
      </c>
    </row>
    <row r="69" spans="2:9" ht="14.25" customHeight="1" thickBot="1" x14ac:dyDescent="0.3">
      <c r="B69" s="69" t="s">
        <v>196</v>
      </c>
      <c r="C69" s="70">
        <v>400</v>
      </c>
      <c r="D69" s="71">
        <v>400</v>
      </c>
      <c r="E69" s="72"/>
      <c r="F69" s="71"/>
      <c r="G69" s="70">
        <v>400</v>
      </c>
      <c r="H69" s="72"/>
      <c r="I69" s="72"/>
    </row>
    <row r="70" spans="2:9" ht="14.25" customHeight="1" thickBot="1" x14ac:dyDescent="0.3">
      <c r="B70" s="69" t="s">
        <v>197</v>
      </c>
      <c r="C70" s="70">
        <v>400</v>
      </c>
      <c r="D70" s="71">
        <v>500</v>
      </c>
      <c r="E70" s="70">
        <v>400</v>
      </c>
      <c r="F70" s="71">
        <v>400</v>
      </c>
      <c r="G70" s="70">
        <v>800</v>
      </c>
      <c r="H70" s="70">
        <v>400</v>
      </c>
      <c r="I70" s="72"/>
    </row>
    <row r="71" spans="2:9" ht="14.25" customHeight="1" thickBot="1" x14ac:dyDescent="0.3">
      <c r="B71" s="69" t="s">
        <v>198</v>
      </c>
      <c r="C71" s="71">
        <v>500</v>
      </c>
      <c r="D71" s="70">
        <v>400</v>
      </c>
      <c r="E71" s="71">
        <v>800</v>
      </c>
      <c r="F71" s="70">
        <v>500</v>
      </c>
      <c r="G71" s="71">
        <v>400</v>
      </c>
      <c r="H71" s="70">
        <v>500</v>
      </c>
      <c r="I71" s="72"/>
    </row>
    <row r="72" spans="2:9" ht="14.25" customHeight="1" thickBot="1" x14ac:dyDescent="0.3">
      <c r="B72" s="69" t="s">
        <v>199</v>
      </c>
      <c r="C72" s="71">
        <v>500</v>
      </c>
      <c r="D72" s="70">
        <v>500</v>
      </c>
      <c r="E72" s="71">
        <v>400</v>
      </c>
      <c r="F72" s="72"/>
      <c r="G72" s="73"/>
      <c r="H72" s="70">
        <v>400</v>
      </c>
      <c r="I72" s="72"/>
    </row>
    <row r="73" spans="2:9" ht="14.25" customHeight="1" thickBot="1" x14ac:dyDescent="0.3">
      <c r="B73" s="69" t="s">
        <v>200</v>
      </c>
      <c r="C73" s="71">
        <v>800</v>
      </c>
      <c r="D73" s="72"/>
      <c r="E73" s="74"/>
      <c r="F73" s="70">
        <v>400</v>
      </c>
      <c r="G73" s="71">
        <v>500</v>
      </c>
      <c r="H73" s="72"/>
      <c r="I73" s="72"/>
    </row>
    <row r="74" spans="2:9" ht="14.25" customHeight="1" x14ac:dyDescent="0.25">
      <c r="B74" s="75" t="s">
        <v>201</v>
      </c>
      <c r="C74" s="76">
        <v>400</v>
      </c>
      <c r="D74" s="77">
        <v>500</v>
      </c>
      <c r="E74" s="78">
        <v>400</v>
      </c>
      <c r="F74" s="77">
        <v>500</v>
      </c>
      <c r="G74" s="74"/>
      <c r="H74" s="75"/>
      <c r="I74" s="75"/>
    </row>
    <row r="75" spans="2:9" ht="14.25" customHeight="1" thickBot="1" x14ac:dyDescent="0.3">
      <c r="B75" s="79" t="s">
        <v>202</v>
      </c>
      <c r="C75" s="80"/>
      <c r="D75" s="79"/>
      <c r="E75" s="79"/>
      <c r="F75" s="79"/>
      <c r="G75" s="79"/>
      <c r="H75" s="81"/>
      <c r="I75" s="81"/>
    </row>
    <row r="76" spans="2:9" ht="14.25" customHeight="1" thickBot="1" x14ac:dyDescent="0.3">
      <c r="B76" s="82" t="s">
        <v>203</v>
      </c>
      <c r="C76" s="83" t="s">
        <v>204</v>
      </c>
      <c r="D76" s="83" t="s">
        <v>191</v>
      </c>
      <c r="E76" s="83" t="s">
        <v>192</v>
      </c>
      <c r="F76" s="83" t="s">
        <v>193</v>
      </c>
      <c r="G76" s="83" t="s">
        <v>205</v>
      </c>
      <c r="H76" s="83" t="s">
        <v>206</v>
      </c>
      <c r="I76" s="84"/>
    </row>
    <row r="77" spans="2:9" ht="14.25" customHeight="1" thickBot="1" x14ac:dyDescent="0.3">
      <c r="B77" s="85" t="s">
        <v>207</v>
      </c>
      <c r="C77" s="86">
        <v>500</v>
      </c>
      <c r="D77" s="86">
        <v>400</v>
      </c>
      <c r="E77" s="87"/>
      <c r="F77" s="86">
        <v>400</v>
      </c>
      <c r="G77" s="88"/>
      <c r="H77" s="86">
        <v>500</v>
      </c>
      <c r="I77" s="89"/>
    </row>
    <row r="78" spans="2:9" ht="14.25" customHeight="1" thickBot="1" x14ac:dyDescent="0.3">
      <c r="B78" s="85" t="s">
        <v>208</v>
      </c>
      <c r="C78" s="86">
        <v>400</v>
      </c>
      <c r="D78" s="86">
        <v>800</v>
      </c>
      <c r="E78" s="86">
        <v>500</v>
      </c>
      <c r="F78" s="86">
        <v>500</v>
      </c>
      <c r="G78" s="86">
        <v>400</v>
      </c>
      <c r="H78" s="86">
        <v>400</v>
      </c>
      <c r="I78" s="89"/>
    </row>
    <row r="79" spans="2:9" ht="14.25" customHeight="1" thickBot="1" x14ac:dyDescent="0.3">
      <c r="B79" s="85" t="s">
        <v>199</v>
      </c>
      <c r="C79" s="86">
        <v>800</v>
      </c>
      <c r="D79" s="86">
        <v>400</v>
      </c>
      <c r="E79" s="87"/>
      <c r="F79" s="86">
        <v>400</v>
      </c>
      <c r="G79" s="88"/>
      <c r="H79" s="88"/>
      <c r="I79" s="89"/>
    </row>
    <row r="80" spans="2:9" ht="14.25" customHeight="1" thickBot="1" x14ac:dyDescent="0.3">
      <c r="B80" s="85" t="s">
        <v>209</v>
      </c>
      <c r="C80" s="88"/>
      <c r="D80" s="86">
        <v>400</v>
      </c>
      <c r="E80" s="86">
        <v>400</v>
      </c>
      <c r="F80" s="88"/>
      <c r="G80" s="86">
        <v>400</v>
      </c>
      <c r="H80" s="86">
        <v>500</v>
      </c>
      <c r="I80" s="89"/>
    </row>
    <row r="81" spans="2:14" ht="14.25" customHeight="1" thickBot="1" x14ac:dyDescent="0.3">
      <c r="B81" s="85" t="s">
        <v>210</v>
      </c>
      <c r="C81" s="86">
        <v>400</v>
      </c>
      <c r="D81" s="86">
        <v>500</v>
      </c>
      <c r="E81" s="86">
        <v>400</v>
      </c>
      <c r="F81" s="86">
        <v>500</v>
      </c>
      <c r="G81" s="88"/>
      <c r="H81" s="86">
        <v>400</v>
      </c>
      <c r="I81" s="89"/>
    </row>
    <row r="82" spans="2:14" ht="14.25" customHeight="1" thickBot="1" x14ac:dyDescent="0.3">
      <c r="B82" s="85" t="s">
        <v>211</v>
      </c>
      <c r="C82" s="86">
        <v>500</v>
      </c>
      <c r="D82" s="88"/>
      <c r="E82" s="86">
        <v>500</v>
      </c>
      <c r="F82" s="88"/>
      <c r="G82" s="86">
        <v>400</v>
      </c>
      <c r="H82" s="86">
        <v>800</v>
      </c>
      <c r="I82" s="89"/>
    </row>
    <row r="83" spans="2:14" ht="14.25" customHeight="1" x14ac:dyDescent="0.25">
      <c r="B83" s="89"/>
      <c r="C83" s="89"/>
      <c r="D83" s="89"/>
      <c r="E83" s="89"/>
      <c r="F83" s="89"/>
      <c r="G83" s="89"/>
      <c r="H83" s="89"/>
      <c r="I83" s="89"/>
    </row>
    <row r="84" spans="2:14" ht="14.25" customHeight="1" x14ac:dyDescent="0.25">
      <c r="B84" s="89"/>
      <c r="C84" s="89"/>
      <c r="D84" s="89"/>
      <c r="E84" s="89"/>
      <c r="F84" s="89"/>
      <c r="G84" s="89"/>
      <c r="H84" s="89"/>
      <c r="I84" s="89"/>
    </row>
    <row r="85" spans="2:14" ht="14.25" customHeight="1" thickBot="1" x14ac:dyDescent="0.3">
      <c r="B85" s="102" t="s">
        <v>260</v>
      </c>
    </row>
    <row r="86" spans="2:14" ht="14.25" customHeight="1" thickBot="1" x14ac:dyDescent="0.3">
      <c r="B86" s="103" t="s">
        <v>155</v>
      </c>
      <c r="C86" s="63" t="s">
        <v>261</v>
      </c>
      <c r="D86" s="63" t="s">
        <v>262</v>
      </c>
      <c r="E86" s="63" t="s">
        <v>263</v>
      </c>
      <c r="F86" s="63" t="s">
        <v>264</v>
      </c>
      <c r="G86" s="63" t="s">
        <v>251</v>
      </c>
      <c r="H86" s="63" t="s">
        <v>265</v>
      </c>
      <c r="I86" s="63" t="s">
        <v>266</v>
      </c>
      <c r="J86" s="63" t="s">
        <v>267</v>
      </c>
      <c r="K86" s="63" t="s">
        <v>268</v>
      </c>
      <c r="L86" s="63" t="s">
        <v>269</v>
      </c>
      <c r="M86" s="63" t="s">
        <v>270</v>
      </c>
      <c r="N86" s="63" t="s">
        <v>271</v>
      </c>
    </row>
    <row r="87" spans="2:14" ht="14.25" customHeight="1" thickBot="1" x14ac:dyDescent="0.3">
      <c r="B87" s="104" t="s">
        <v>272</v>
      </c>
      <c r="C87" s="105">
        <v>0</v>
      </c>
      <c r="D87" s="105">
        <v>0</v>
      </c>
      <c r="E87" s="105">
        <v>0</v>
      </c>
      <c r="F87" s="105">
        <v>0</v>
      </c>
      <c r="G87" s="105">
        <v>3.51</v>
      </c>
      <c r="H87" s="105">
        <v>46.8</v>
      </c>
      <c r="I87" s="105">
        <v>46.8</v>
      </c>
      <c r="J87" s="105">
        <v>70.2</v>
      </c>
      <c r="K87" s="105">
        <v>70.2</v>
      </c>
      <c r="L87" s="105">
        <v>70.2</v>
      </c>
      <c r="M87" s="105">
        <v>93.6</v>
      </c>
      <c r="N87" s="105">
        <v>93.6</v>
      </c>
    </row>
    <row r="88" spans="2:14" ht="14.25" customHeight="1" thickBot="1" x14ac:dyDescent="0.3">
      <c r="B88" s="104" t="s">
        <v>273</v>
      </c>
      <c r="C88" s="105">
        <v>117</v>
      </c>
      <c r="D88" s="105">
        <v>117</v>
      </c>
      <c r="E88" s="105">
        <v>140.4</v>
      </c>
      <c r="F88" s="105">
        <v>140.4</v>
      </c>
      <c r="G88" s="105">
        <v>140.4</v>
      </c>
      <c r="H88" s="105">
        <v>163.80000000000001</v>
      </c>
      <c r="I88" s="105">
        <v>163.80000000000001</v>
      </c>
      <c r="J88" s="105">
        <v>163.80000000000001</v>
      </c>
      <c r="K88" s="105">
        <v>163.80000000000001</v>
      </c>
      <c r="L88" s="105">
        <v>163.80000000000001</v>
      </c>
      <c r="M88" s="105">
        <v>163.80000000000001</v>
      </c>
      <c r="N88" s="105">
        <v>163.80000000000001</v>
      </c>
    </row>
    <row r="89" spans="2:14" ht="14.25" customHeight="1" thickBot="1" x14ac:dyDescent="0.3">
      <c r="B89" s="104" t="s">
        <v>274</v>
      </c>
      <c r="C89" s="105">
        <v>163.80000000000001</v>
      </c>
      <c r="D89" s="105">
        <v>163.80000000000001</v>
      </c>
      <c r="E89" s="105">
        <v>163.80000000000001</v>
      </c>
      <c r="F89" s="105">
        <v>163.80000000000001</v>
      </c>
      <c r="G89" s="105">
        <v>163.80000000000001</v>
      </c>
      <c r="H89" s="105">
        <v>163.80000000000001</v>
      </c>
      <c r="I89" s="105">
        <v>163.80000000000001</v>
      </c>
      <c r="J89" s="105">
        <v>163.80000000000001</v>
      </c>
      <c r="K89" s="105">
        <v>163.80000000000001</v>
      </c>
      <c r="L89" s="105">
        <v>163.80000000000001</v>
      </c>
      <c r="M89" s="105">
        <v>163.80000000000001</v>
      </c>
      <c r="N89" s="105">
        <v>163.80000000000001</v>
      </c>
    </row>
    <row r="90" spans="2:14" ht="14.25" customHeight="1" thickBot="1" x14ac:dyDescent="0.3">
      <c r="B90" s="166" t="s">
        <v>312</v>
      </c>
    </row>
    <row r="91" spans="2:14" ht="14.25" customHeight="1" thickBot="1" x14ac:dyDescent="0.3">
      <c r="B91" s="106" t="s">
        <v>155</v>
      </c>
      <c r="C91" s="107" t="s">
        <v>275</v>
      </c>
      <c r="D91" s="107" t="s">
        <v>262</v>
      </c>
      <c r="E91" s="107" t="s">
        <v>263</v>
      </c>
      <c r="F91" s="107" t="s">
        <v>264</v>
      </c>
      <c r="G91" s="107" t="s">
        <v>251</v>
      </c>
      <c r="H91" s="107" t="s">
        <v>276</v>
      </c>
      <c r="I91" s="107" t="s">
        <v>277</v>
      </c>
      <c r="J91" s="107" t="s">
        <v>278</v>
      </c>
      <c r="K91" s="107" t="s">
        <v>279</v>
      </c>
      <c r="L91" s="107" t="s">
        <v>280</v>
      </c>
      <c r="M91" s="107" t="s">
        <v>270</v>
      </c>
      <c r="N91" s="107" t="s">
        <v>281</v>
      </c>
    </row>
    <row r="92" spans="2:14" ht="14.25" customHeight="1" thickBot="1" x14ac:dyDescent="0.3">
      <c r="B92" s="108" t="s">
        <v>282</v>
      </c>
      <c r="C92" s="105">
        <v>0</v>
      </c>
      <c r="D92" s="105">
        <v>0</v>
      </c>
      <c r="E92" s="105">
        <v>0</v>
      </c>
      <c r="F92" s="105">
        <v>30</v>
      </c>
      <c r="G92" s="105">
        <v>30</v>
      </c>
      <c r="H92" s="105">
        <v>30</v>
      </c>
      <c r="I92" s="105">
        <v>30</v>
      </c>
      <c r="J92" s="105">
        <v>30</v>
      </c>
      <c r="K92" s="105">
        <v>30</v>
      </c>
      <c r="L92" s="105">
        <v>30</v>
      </c>
      <c r="M92" s="105">
        <v>30</v>
      </c>
      <c r="N92" s="105">
        <v>30</v>
      </c>
    </row>
    <row r="93" spans="2:14" ht="14.25" customHeight="1" thickBot="1" x14ac:dyDescent="0.3">
      <c r="B93" s="108" t="s">
        <v>283</v>
      </c>
      <c r="C93" s="105">
        <v>0</v>
      </c>
      <c r="D93" s="105">
        <v>0</v>
      </c>
      <c r="E93" s="105">
        <v>0</v>
      </c>
      <c r="F93" s="105">
        <v>0</v>
      </c>
      <c r="G93" s="105">
        <v>1.6</v>
      </c>
      <c r="H93" s="105">
        <v>1.6</v>
      </c>
      <c r="I93" s="105">
        <v>1.6</v>
      </c>
      <c r="J93" s="105">
        <v>1.6</v>
      </c>
      <c r="K93" s="105">
        <v>1.6</v>
      </c>
      <c r="L93" s="105">
        <v>1.6</v>
      </c>
      <c r="M93" s="105">
        <v>1.6</v>
      </c>
      <c r="N93" s="105">
        <v>1.6</v>
      </c>
    </row>
    <row r="94" spans="2:14" ht="14.25" customHeight="1" thickBot="1" x14ac:dyDescent="0.3">
      <c r="B94" s="108" t="s">
        <v>284</v>
      </c>
      <c r="C94" s="105">
        <v>0</v>
      </c>
      <c r="D94" s="105">
        <v>0</v>
      </c>
      <c r="E94" s="105">
        <v>0</v>
      </c>
      <c r="F94" s="105">
        <v>0</v>
      </c>
      <c r="G94" s="105">
        <v>5</v>
      </c>
      <c r="H94" s="105">
        <v>5</v>
      </c>
      <c r="I94" s="105">
        <v>5</v>
      </c>
      <c r="J94" s="105">
        <v>5</v>
      </c>
      <c r="K94" s="105">
        <v>5</v>
      </c>
      <c r="L94" s="105">
        <v>5</v>
      </c>
      <c r="M94" s="105">
        <v>5</v>
      </c>
      <c r="N94" s="105">
        <v>5</v>
      </c>
    </row>
    <row r="95" spans="2:14" ht="14.25" customHeight="1" thickBot="1" x14ac:dyDescent="0.3">
      <c r="B95" s="108" t="s">
        <v>285</v>
      </c>
      <c r="C95" s="105">
        <v>0</v>
      </c>
      <c r="D95" s="105">
        <v>0</v>
      </c>
      <c r="E95" s="105">
        <v>0</v>
      </c>
      <c r="F95" s="105">
        <v>0</v>
      </c>
      <c r="G95" s="105">
        <v>1</v>
      </c>
      <c r="H95" s="105">
        <v>1</v>
      </c>
      <c r="I95" s="105">
        <v>1</v>
      </c>
      <c r="J95" s="105">
        <v>1</v>
      </c>
      <c r="K95" s="105">
        <v>1</v>
      </c>
      <c r="L95" s="105">
        <v>1</v>
      </c>
      <c r="M95" s="105">
        <v>1</v>
      </c>
      <c r="N95" s="105">
        <v>1</v>
      </c>
    </row>
    <row r="96" spans="2:14" ht="14.25" customHeight="1" thickBot="1" x14ac:dyDescent="0.3">
      <c r="B96" s="108" t="s">
        <v>286</v>
      </c>
      <c r="C96" s="105">
        <v>0</v>
      </c>
      <c r="D96" s="105">
        <v>0</v>
      </c>
      <c r="E96" s="105">
        <v>0</v>
      </c>
      <c r="F96" s="105">
        <v>0</v>
      </c>
      <c r="G96" s="105">
        <v>0.25</v>
      </c>
      <c r="H96" s="105">
        <v>0.25</v>
      </c>
      <c r="I96" s="105">
        <v>0.25</v>
      </c>
      <c r="J96" s="105">
        <v>0.25</v>
      </c>
      <c r="K96" s="105">
        <v>0.25</v>
      </c>
      <c r="L96" s="105">
        <v>0.25</v>
      </c>
      <c r="M96" s="105">
        <v>0.25</v>
      </c>
      <c r="N96" s="105">
        <v>0.25</v>
      </c>
    </row>
    <row r="97" spans="2:14" ht="14.25" customHeight="1" thickBot="1" x14ac:dyDescent="0.3">
      <c r="B97" s="108" t="s">
        <v>287</v>
      </c>
      <c r="C97" s="105">
        <v>0</v>
      </c>
      <c r="D97" s="105">
        <v>0</v>
      </c>
      <c r="E97" s="105">
        <v>0</v>
      </c>
      <c r="F97" s="105">
        <v>30</v>
      </c>
      <c r="G97" s="105">
        <v>37.85</v>
      </c>
      <c r="H97" s="105">
        <v>37.85</v>
      </c>
      <c r="I97" s="105">
        <v>37.85</v>
      </c>
      <c r="J97" s="105">
        <v>37.85</v>
      </c>
      <c r="K97" s="105">
        <v>37.85</v>
      </c>
      <c r="L97" s="105">
        <v>37.85</v>
      </c>
      <c r="M97" s="105">
        <v>37.85</v>
      </c>
      <c r="N97" s="105">
        <v>37.85</v>
      </c>
    </row>
    <row r="98" spans="2:14" ht="14.25" customHeight="1" x14ac:dyDescent="0.25"/>
    <row r="99" spans="2:14" ht="14.25" customHeight="1" x14ac:dyDescent="0.25"/>
    <row r="100" spans="2:14" ht="14.25" customHeight="1" x14ac:dyDescent="0.25"/>
    <row r="101" spans="2:14" ht="14.25" customHeight="1" x14ac:dyDescent="0.25"/>
    <row r="102" spans="2:14" ht="14.25" customHeight="1" x14ac:dyDescent="0.25"/>
    <row r="103" spans="2:14" ht="14.25" customHeight="1" x14ac:dyDescent="0.25"/>
    <row r="104" spans="2:14" ht="14.25" customHeight="1" x14ac:dyDescent="0.25"/>
    <row r="105" spans="2:14" ht="14.25" customHeight="1" x14ac:dyDescent="0.25"/>
    <row r="106" spans="2:14" ht="14.25" customHeight="1" x14ac:dyDescent="0.25"/>
    <row r="107" spans="2:14" ht="14.25" customHeight="1" x14ac:dyDescent="0.25"/>
    <row r="108" spans="2:14" ht="14.25" customHeight="1" x14ac:dyDescent="0.25"/>
    <row r="109" spans="2:14" ht="14.25" customHeight="1" x14ac:dyDescent="0.25"/>
    <row r="110" spans="2:14" ht="14.25" customHeight="1" x14ac:dyDescent="0.25"/>
    <row r="111" spans="2:14" ht="14.25" customHeight="1" x14ac:dyDescent="0.25"/>
    <row r="112" spans="2:14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</sheetData>
  <mergeCells count="40">
    <mergeCell ref="C21:F21"/>
    <mergeCell ref="C22:F22"/>
    <mergeCell ref="C23:F23"/>
    <mergeCell ref="C24:F24"/>
    <mergeCell ref="B2:B3"/>
    <mergeCell ref="C2:D2"/>
    <mergeCell ref="E2:F2"/>
    <mergeCell ref="C9:F9"/>
    <mergeCell ref="C10:F10"/>
    <mergeCell ref="C11:F11"/>
    <mergeCell ref="C12:F12"/>
    <mergeCell ref="B4:B8"/>
    <mergeCell ref="B14:B15"/>
    <mergeCell ref="B16:B20"/>
    <mergeCell ref="C14:D14"/>
    <mergeCell ref="E14:F14"/>
    <mergeCell ref="B67:I67"/>
    <mergeCell ref="B29:B30"/>
    <mergeCell ref="C29:D29"/>
    <mergeCell ref="E29:F29"/>
    <mergeCell ref="B31:B35"/>
    <mergeCell ref="E31:E34"/>
    <mergeCell ref="C36:F36"/>
    <mergeCell ref="C37:F37"/>
    <mergeCell ref="C38:F38"/>
    <mergeCell ref="C39:F39"/>
    <mergeCell ref="B43:B44"/>
    <mergeCell ref="C43:D43"/>
    <mergeCell ref="E43:F43"/>
    <mergeCell ref="B45:B49"/>
    <mergeCell ref="C50:F50"/>
    <mergeCell ref="C51:F51"/>
    <mergeCell ref="C52:F52"/>
    <mergeCell ref="C53:F53"/>
    <mergeCell ref="E45:E48"/>
    <mergeCell ref="C4:C8"/>
    <mergeCell ref="E16:E19"/>
    <mergeCell ref="C16:C20"/>
    <mergeCell ref="F4:F8"/>
    <mergeCell ref="E4:E8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9" workbookViewId="0">
      <selection activeCell="H5" sqref="H5"/>
    </sheetView>
  </sheetViews>
  <sheetFormatPr defaultColWidth="12.69921875" defaultRowHeight="15" customHeight="1" x14ac:dyDescent="0.25"/>
  <cols>
    <col min="1" max="1" width="7.69921875" customWidth="1"/>
    <col min="2" max="2" width="15.3984375" customWidth="1"/>
    <col min="3" max="5" width="6.19921875" customWidth="1"/>
    <col min="6" max="6" width="9.59765625" customWidth="1"/>
    <col min="7" max="7" width="8.296875" customWidth="1"/>
    <col min="8" max="8" width="8.5" customWidth="1"/>
    <col min="9" max="14" width="6.19921875" customWidth="1"/>
    <col min="15" max="15" width="7.69921875" customWidth="1"/>
    <col min="16" max="16" width="7.19921875" customWidth="1"/>
    <col min="17" max="17" width="7.796875" customWidth="1"/>
    <col min="18" max="18" width="7.19921875" customWidth="1"/>
    <col min="19" max="22" width="6.19921875" customWidth="1"/>
    <col min="23" max="26" width="7.69921875" customWidth="1"/>
  </cols>
  <sheetData>
    <row r="1" spans="1:26" ht="14.25" customHeight="1" x14ac:dyDescent="0.3">
      <c r="B1" s="1"/>
    </row>
    <row r="2" spans="1:26" ht="14.25" customHeight="1" x14ac:dyDescent="0.3">
      <c r="B2" s="1"/>
      <c r="C2" s="156" t="s">
        <v>62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19"/>
    </row>
    <row r="3" spans="1:26" ht="14.25" customHeight="1" x14ac:dyDescent="0.3">
      <c r="B3" s="1"/>
      <c r="C3" s="158" t="s">
        <v>63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  <c r="O3" s="161" t="s">
        <v>64</v>
      </c>
      <c r="P3" s="159"/>
      <c r="Q3" s="159"/>
      <c r="R3" s="160"/>
      <c r="S3" s="161" t="s">
        <v>65</v>
      </c>
      <c r="T3" s="159"/>
      <c r="U3" s="159"/>
      <c r="V3" s="162"/>
    </row>
    <row r="4" spans="1:26" ht="14.25" customHeight="1" x14ac:dyDescent="0.3">
      <c r="A4" s="31"/>
      <c r="B4" s="32" t="s">
        <v>52</v>
      </c>
      <c r="C4" s="33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5">
        <v>12</v>
      </c>
      <c r="O4" s="33" t="s">
        <v>66</v>
      </c>
      <c r="P4" s="34" t="s">
        <v>67</v>
      </c>
      <c r="Q4" s="34" t="s">
        <v>68</v>
      </c>
      <c r="R4" s="35" t="s">
        <v>69</v>
      </c>
      <c r="S4" s="33" t="s">
        <v>66</v>
      </c>
      <c r="T4" s="34" t="s">
        <v>67</v>
      </c>
      <c r="U4" s="34" t="s">
        <v>68</v>
      </c>
      <c r="V4" s="35" t="s">
        <v>69</v>
      </c>
      <c r="W4" s="31"/>
      <c r="X4" s="31"/>
      <c r="Y4" s="31"/>
      <c r="Z4" s="31"/>
    </row>
    <row r="5" spans="1:26" ht="28.8" x14ac:dyDescent="0.3">
      <c r="B5" s="59" t="s">
        <v>245</v>
      </c>
      <c r="C5" s="22">
        <f>C21</f>
        <v>0</v>
      </c>
      <c r="D5" s="22">
        <f>C22</f>
        <v>0</v>
      </c>
      <c r="E5" s="22">
        <f>C23</f>
        <v>0</v>
      </c>
      <c r="F5" s="22">
        <f>C24</f>
        <v>0</v>
      </c>
      <c r="G5" s="22">
        <f>C25*26</f>
        <v>390</v>
      </c>
      <c r="H5" s="22">
        <f>C26*26</f>
        <v>520</v>
      </c>
      <c r="I5" s="22">
        <f>C26*26</f>
        <v>520</v>
      </c>
      <c r="J5" s="22">
        <f>C28*26</f>
        <v>780</v>
      </c>
      <c r="K5" s="22">
        <f>C29*26</f>
        <v>780</v>
      </c>
      <c r="L5" s="22">
        <f>C30*26</f>
        <v>780</v>
      </c>
      <c r="M5" s="22">
        <f>C31*26</f>
        <v>1040</v>
      </c>
      <c r="N5" s="22">
        <f>C32*26</f>
        <v>1040</v>
      </c>
      <c r="O5" s="22">
        <f>(D21+D22+D23)*26</f>
        <v>4160</v>
      </c>
      <c r="P5" s="22">
        <f>(D24+D25+D26)*26</f>
        <v>4940</v>
      </c>
      <c r="Q5" s="22">
        <f>(D27+D28+D29)*26</f>
        <v>5460</v>
      </c>
      <c r="R5" s="22">
        <f>(D30+D31+D32)*26</f>
        <v>5460</v>
      </c>
      <c r="S5" s="22">
        <f>(E21+E22+E23)*26</f>
        <v>5460</v>
      </c>
      <c r="T5" s="17">
        <f>S5</f>
        <v>5460</v>
      </c>
      <c r="U5" s="17">
        <f>T5</f>
        <v>5460</v>
      </c>
      <c r="V5" s="23">
        <f>U5</f>
        <v>5460</v>
      </c>
    </row>
    <row r="6" spans="1:26" ht="14.25" customHeight="1" x14ac:dyDescent="0.3">
      <c r="B6" s="5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7"/>
      <c r="U6" s="17"/>
      <c r="V6" s="23"/>
    </row>
    <row r="7" spans="1:26" ht="14.25" customHeight="1" x14ac:dyDescent="0.3">
      <c r="B7" s="5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7"/>
      <c r="U7" s="17"/>
      <c r="V7" s="23"/>
    </row>
    <row r="8" spans="1:26" ht="14.25" customHeight="1" x14ac:dyDescent="0.3">
      <c r="B8" s="59"/>
      <c r="C8" s="22"/>
      <c r="D8" s="17"/>
      <c r="E8" s="17"/>
      <c r="F8" s="17"/>
      <c r="G8" s="17"/>
      <c r="H8" s="17"/>
      <c r="I8" s="17"/>
      <c r="J8" s="17"/>
      <c r="K8" s="17"/>
      <c r="L8" s="17"/>
      <c r="M8" s="17"/>
      <c r="N8" s="23"/>
      <c r="O8" s="22"/>
      <c r="P8" s="17"/>
      <c r="Q8" s="17"/>
      <c r="R8" s="23"/>
      <c r="S8" s="22"/>
      <c r="T8" s="17"/>
      <c r="U8" s="17"/>
      <c r="V8" s="23"/>
    </row>
    <row r="9" spans="1:26" ht="14.25" customHeight="1" x14ac:dyDescent="0.3">
      <c r="B9" s="59"/>
      <c r="C9" s="22"/>
      <c r="D9" s="17"/>
      <c r="E9" s="17"/>
      <c r="F9" s="17"/>
      <c r="G9" s="17"/>
      <c r="H9" s="17"/>
      <c r="I9" s="17"/>
      <c r="J9" s="17"/>
      <c r="K9" s="17"/>
      <c r="L9" s="17"/>
      <c r="M9" s="17"/>
      <c r="N9" s="23"/>
      <c r="O9" s="22"/>
      <c r="P9" s="17"/>
      <c r="Q9" s="17"/>
      <c r="R9" s="23"/>
      <c r="S9" s="22"/>
      <c r="T9" s="17"/>
      <c r="U9" s="17"/>
      <c r="V9" s="23"/>
    </row>
    <row r="10" spans="1:26" ht="14.25" customHeight="1" x14ac:dyDescent="0.3">
      <c r="B10" s="59"/>
      <c r="C10" s="2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3"/>
      <c r="O10" s="22"/>
      <c r="P10" s="17"/>
      <c r="Q10" s="17"/>
      <c r="R10" s="23"/>
      <c r="S10" s="22"/>
      <c r="T10" s="17"/>
      <c r="U10" s="17"/>
      <c r="V10" s="23"/>
    </row>
    <row r="11" spans="1:26" ht="14.25" customHeight="1" x14ac:dyDescent="0.3">
      <c r="B11" s="59"/>
      <c r="C11" s="2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3"/>
      <c r="O11" s="22"/>
      <c r="P11" s="17"/>
      <c r="Q11" s="17"/>
      <c r="R11" s="23"/>
      <c r="S11" s="22"/>
      <c r="T11" s="17"/>
      <c r="U11" s="17"/>
      <c r="V11" s="23"/>
    </row>
    <row r="12" spans="1:26" ht="14.25" customHeight="1" x14ac:dyDescent="0.3">
      <c r="B12" s="59"/>
      <c r="C12" s="2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3"/>
      <c r="O12" s="22"/>
      <c r="P12" s="17"/>
      <c r="Q12" s="17"/>
      <c r="R12" s="23"/>
      <c r="S12" s="22"/>
      <c r="T12" s="17"/>
      <c r="U12" s="17"/>
      <c r="V12" s="23"/>
    </row>
    <row r="13" spans="1:26" ht="14.25" customHeight="1" x14ac:dyDescent="0.3">
      <c r="B13" s="59"/>
      <c r="C13" s="2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3"/>
      <c r="O13" s="22"/>
      <c r="P13" s="17"/>
      <c r="Q13" s="17"/>
      <c r="R13" s="23"/>
      <c r="S13" s="22"/>
      <c r="T13" s="17"/>
      <c r="U13" s="17"/>
      <c r="V13" s="23"/>
    </row>
    <row r="14" spans="1:26" ht="14.25" customHeight="1" x14ac:dyDescent="0.3">
      <c r="B14" s="59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/>
      <c r="P14" s="25"/>
      <c r="Q14" s="25"/>
      <c r="R14" s="26"/>
      <c r="S14" s="24"/>
      <c r="T14" s="25"/>
      <c r="U14" s="25"/>
      <c r="V14" s="26"/>
    </row>
    <row r="15" spans="1:26" ht="14.25" customHeight="1" x14ac:dyDescent="0.3">
      <c r="B15" s="59"/>
    </row>
    <row r="16" spans="1:26" ht="14.25" customHeight="1" x14ac:dyDescent="0.3">
      <c r="B16" s="59"/>
    </row>
    <row r="17" spans="2:12" ht="14.25" customHeight="1" x14ac:dyDescent="0.3">
      <c r="B17" s="1"/>
    </row>
    <row r="18" spans="2:12" ht="14.25" customHeight="1" thickBot="1" x14ac:dyDescent="0.3">
      <c r="B18" s="90" t="s">
        <v>244</v>
      </c>
    </row>
    <row r="19" spans="2:12" ht="31.2" customHeight="1" thickBot="1" x14ac:dyDescent="0.3">
      <c r="B19" s="132" t="s">
        <v>155</v>
      </c>
      <c r="C19" s="134" t="s">
        <v>156</v>
      </c>
      <c r="D19" s="135"/>
      <c r="E19" s="136"/>
      <c r="F19" s="134" t="s">
        <v>157</v>
      </c>
      <c r="G19" s="135"/>
      <c r="H19" s="136"/>
    </row>
    <row r="20" spans="2:12" ht="14.25" customHeight="1" thickBot="1" x14ac:dyDescent="0.3">
      <c r="B20" s="133"/>
      <c r="C20" s="60" t="s">
        <v>158</v>
      </c>
      <c r="D20" s="60" t="s">
        <v>159</v>
      </c>
      <c r="E20" s="60" t="s">
        <v>160</v>
      </c>
      <c r="F20" s="60" t="s">
        <v>158</v>
      </c>
      <c r="G20" s="60" t="s">
        <v>159</v>
      </c>
      <c r="H20" s="60" t="s">
        <v>160</v>
      </c>
    </row>
    <row r="21" spans="2:12" ht="14.25" customHeight="1" thickBot="1" x14ac:dyDescent="0.3">
      <c r="B21" s="62" t="s">
        <v>161</v>
      </c>
      <c r="C21" s="60">
        <v>0</v>
      </c>
      <c r="D21" s="60">
        <v>50</v>
      </c>
      <c r="E21" s="60">
        <v>70</v>
      </c>
      <c r="F21" s="60">
        <v>0</v>
      </c>
      <c r="G21" s="60">
        <v>585000</v>
      </c>
      <c r="H21" s="60">
        <v>819000</v>
      </c>
    </row>
    <row r="22" spans="2:12" ht="14.25" customHeight="1" thickBot="1" x14ac:dyDescent="0.3">
      <c r="B22" s="62" t="s">
        <v>162</v>
      </c>
      <c r="C22" s="60">
        <v>0</v>
      </c>
      <c r="D22" s="60">
        <v>50</v>
      </c>
      <c r="E22" s="60">
        <v>70</v>
      </c>
      <c r="F22" s="60">
        <v>0</v>
      </c>
      <c r="G22" s="60">
        <v>585000</v>
      </c>
      <c r="H22" s="60">
        <v>819000</v>
      </c>
      <c r="L22" s="52"/>
    </row>
    <row r="23" spans="2:12" ht="14.25" customHeight="1" thickBot="1" x14ac:dyDescent="0.3">
      <c r="B23" s="62" t="s">
        <v>163</v>
      </c>
      <c r="C23" s="60">
        <v>0</v>
      </c>
      <c r="D23" s="60">
        <v>60</v>
      </c>
      <c r="E23" s="60">
        <v>70</v>
      </c>
      <c r="F23" s="60">
        <v>0</v>
      </c>
      <c r="G23" s="60">
        <v>702000</v>
      </c>
      <c r="H23" s="60">
        <v>819000</v>
      </c>
      <c r="L23" s="52"/>
    </row>
    <row r="24" spans="2:12" ht="14.25" customHeight="1" thickBot="1" x14ac:dyDescent="0.3">
      <c r="B24" s="62" t="s">
        <v>164</v>
      </c>
      <c r="C24" s="60">
        <v>0</v>
      </c>
      <c r="D24" s="60">
        <v>60</v>
      </c>
      <c r="E24" s="60">
        <v>70</v>
      </c>
      <c r="F24" s="60">
        <v>0</v>
      </c>
      <c r="G24" s="60">
        <v>702000</v>
      </c>
      <c r="H24" s="60">
        <v>819000</v>
      </c>
    </row>
    <row r="25" spans="2:12" ht="14.25" customHeight="1" thickBot="1" x14ac:dyDescent="0.3">
      <c r="B25" s="62" t="s">
        <v>165</v>
      </c>
      <c r="C25" s="60">
        <v>15</v>
      </c>
      <c r="D25" s="60">
        <v>60</v>
      </c>
      <c r="E25" s="60">
        <v>70</v>
      </c>
      <c r="F25" s="60">
        <v>175500</v>
      </c>
      <c r="G25" s="60">
        <v>702000</v>
      </c>
      <c r="H25" s="60">
        <v>819000</v>
      </c>
    </row>
    <row r="26" spans="2:12" ht="14.25" customHeight="1" thickBot="1" x14ac:dyDescent="0.3">
      <c r="B26" s="62" t="s">
        <v>166</v>
      </c>
      <c r="C26" s="60">
        <v>20</v>
      </c>
      <c r="D26" s="60">
        <v>70</v>
      </c>
      <c r="E26" s="60">
        <v>70</v>
      </c>
      <c r="F26" s="60">
        <v>234000</v>
      </c>
      <c r="G26" s="60">
        <v>819000</v>
      </c>
      <c r="H26" s="60">
        <v>819000</v>
      </c>
    </row>
    <row r="27" spans="2:12" ht="14.25" customHeight="1" thickBot="1" x14ac:dyDescent="0.3">
      <c r="B27" s="62" t="s">
        <v>167</v>
      </c>
      <c r="C27" s="60">
        <v>20</v>
      </c>
      <c r="D27" s="60">
        <v>70</v>
      </c>
      <c r="E27" s="60">
        <v>70</v>
      </c>
      <c r="F27" s="60">
        <v>234000</v>
      </c>
      <c r="G27" s="60">
        <v>819000</v>
      </c>
      <c r="H27" s="60">
        <v>819000</v>
      </c>
    </row>
    <row r="28" spans="2:12" ht="14.25" customHeight="1" thickBot="1" x14ac:dyDescent="0.3">
      <c r="B28" s="62" t="s">
        <v>168</v>
      </c>
      <c r="C28" s="60">
        <v>30</v>
      </c>
      <c r="D28" s="60">
        <v>70</v>
      </c>
      <c r="E28" s="60">
        <v>70</v>
      </c>
      <c r="F28" s="60">
        <v>351000</v>
      </c>
      <c r="G28" s="60">
        <v>819000</v>
      </c>
      <c r="H28" s="60">
        <v>819000</v>
      </c>
    </row>
    <row r="29" spans="2:12" ht="14.25" customHeight="1" thickBot="1" x14ac:dyDescent="0.3">
      <c r="B29" s="62" t="s">
        <v>169</v>
      </c>
      <c r="C29" s="60">
        <v>30</v>
      </c>
      <c r="D29" s="60">
        <v>70</v>
      </c>
      <c r="E29" s="60">
        <v>70</v>
      </c>
      <c r="F29" s="60">
        <v>351000</v>
      </c>
      <c r="G29" s="60">
        <v>819000</v>
      </c>
      <c r="H29" s="60">
        <v>819000</v>
      </c>
    </row>
    <row r="30" spans="2:12" ht="14.25" customHeight="1" thickBot="1" x14ac:dyDescent="0.3">
      <c r="B30" s="62" t="s">
        <v>170</v>
      </c>
      <c r="C30" s="60">
        <v>30</v>
      </c>
      <c r="D30" s="60">
        <v>70</v>
      </c>
      <c r="E30" s="60">
        <v>70</v>
      </c>
      <c r="F30" s="60">
        <v>351000</v>
      </c>
      <c r="G30" s="60">
        <v>819000</v>
      </c>
      <c r="H30" s="60">
        <v>819000</v>
      </c>
    </row>
    <row r="31" spans="2:12" ht="14.25" customHeight="1" thickBot="1" x14ac:dyDescent="0.3">
      <c r="B31" s="62" t="s">
        <v>171</v>
      </c>
      <c r="C31" s="60">
        <v>40</v>
      </c>
      <c r="D31" s="60">
        <v>70</v>
      </c>
      <c r="E31" s="60">
        <v>70</v>
      </c>
      <c r="F31" s="60">
        <v>468000</v>
      </c>
      <c r="G31" s="60">
        <v>819000</v>
      </c>
      <c r="H31" s="60">
        <v>819000</v>
      </c>
    </row>
    <row r="32" spans="2:12" ht="14.25" customHeight="1" thickBot="1" x14ac:dyDescent="0.3">
      <c r="B32" s="62" t="s">
        <v>172</v>
      </c>
      <c r="C32" s="60">
        <v>40</v>
      </c>
      <c r="D32" s="60">
        <v>70</v>
      </c>
      <c r="E32" s="60">
        <v>70</v>
      </c>
      <c r="F32" s="60">
        <v>468000</v>
      </c>
      <c r="G32" s="60">
        <v>819000</v>
      </c>
      <c r="H32" s="60">
        <v>819000</v>
      </c>
    </row>
    <row r="33" spans="2:8" ht="14.25" customHeight="1" thickBot="1" x14ac:dyDescent="0.3">
      <c r="B33" s="62" t="s">
        <v>173</v>
      </c>
      <c r="C33" s="60" t="s">
        <v>108</v>
      </c>
      <c r="D33" s="60" t="s">
        <v>108</v>
      </c>
      <c r="E33" s="60" t="s">
        <v>108</v>
      </c>
      <c r="F33" s="60">
        <v>2632500</v>
      </c>
      <c r="G33" s="60">
        <v>9009000</v>
      </c>
      <c r="H33" s="60">
        <v>9828000</v>
      </c>
    </row>
    <row r="34" spans="2:8" ht="14.25" customHeight="1" x14ac:dyDescent="0.3">
      <c r="B34" s="1"/>
    </row>
    <row r="35" spans="2:8" ht="14.25" customHeight="1" x14ac:dyDescent="0.3">
      <c r="B35" s="1"/>
    </row>
    <row r="36" spans="2:8" ht="14.25" customHeight="1" x14ac:dyDescent="0.3">
      <c r="B36" s="1"/>
    </row>
    <row r="37" spans="2:8" ht="14.25" customHeight="1" x14ac:dyDescent="0.3">
      <c r="B37" s="1"/>
    </row>
    <row r="38" spans="2:8" ht="14.25" customHeight="1" x14ac:dyDescent="0.3">
      <c r="B38" s="1"/>
    </row>
    <row r="39" spans="2:8" ht="14.25" customHeight="1" x14ac:dyDescent="0.3">
      <c r="B39" s="1"/>
    </row>
    <row r="40" spans="2:8" ht="14.25" customHeight="1" x14ac:dyDescent="0.3">
      <c r="B40" s="1"/>
    </row>
    <row r="41" spans="2:8" ht="14.25" customHeight="1" x14ac:dyDescent="0.3">
      <c r="B41" s="1"/>
    </row>
    <row r="42" spans="2:8" ht="14.25" customHeight="1" x14ac:dyDescent="0.3">
      <c r="B42" s="1"/>
    </row>
    <row r="43" spans="2:8" ht="14.25" customHeight="1" x14ac:dyDescent="0.3">
      <c r="B43" s="1"/>
    </row>
    <row r="44" spans="2:8" ht="14.25" customHeight="1" x14ac:dyDescent="0.3">
      <c r="B44" s="1"/>
    </row>
    <row r="45" spans="2:8" ht="14.25" customHeight="1" x14ac:dyDescent="0.3">
      <c r="B45" s="1"/>
    </row>
    <row r="46" spans="2:8" ht="14.25" customHeight="1" x14ac:dyDescent="0.3">
      <c r="B46" s="1"/>
    </row>
    <row r="47" spans="2:8" ht="14.25" customHeight="1" x14ac:dyDescent="0.3">
      <c r="B47" s="1"/>
    </row>
    <row r="48" spans="2:8" ht="14.25" customHeight="1" x14ac:dyDescent="0.3">
      <c r="B48" s="1"/>
    </row>
    <row r="49" spans="2:2" ht="14.25" customHeight="1" x14ac:dyDescent="0.3">
      <c r="B49" s="1"/>
    </row>
    <row r="50" spans="2:2" ht="14.25" customHeight="1" x14ac:dyDescent="0.3">
      <c r="B50" s="1"/>
    </row>
    <row r="51" spans="2:2" ht="14.25" customHeight="1" x14ac:dyDescent="0.3">
      <c r="B51" s="1"/>
    </row>
    <row r="52" spans="2:2" ht="14.25" customHeight="1" x14ac:dyDescent="0.3">
      <c r="B52" s="1"/>
    </row>
    <row r="53" spans="2:2" ht="14.25" customHeight="1" x14ac:dyDescent="0.3">
      <c r="B53" s="1"/>
    </row>
    <row r="54" spans="2:2" ht="14.25" customHeight="1" x14ac:dyDescent="0.3">
      <c r="B54" s="1"/>
    </row>
    <row r="55" spans="2:2" ht="14.25" customHeight="1" x14ac:dyDescent="0.3">
      <c r="B55" s="1"/>
    </row>
    <row r="56" spans="2:2" ht="14.25" customHeight="1" x14ac:dyDescent="0.3">
      <c r="B56" s="1"/>
    </row>
    <row r="57" spans="2:2" ht="14.25" customHeight="1" x14ac:dyDescent="0.3">
      <c r="B57" s="1"/>
    </row>
    <row r="58" spans="2:2" ht="14.25" customHeight="1" x14ac:dyDescent="0.3">
      <c r="B58" s="1"/>
    </row>
    <row r="59" spans="2:2" ht="14.25" customHeight="1" x14ac:dyDescent="0.3">
      <c r="B59" s="1"/>
    </row>
    <row r="60" spans="2:2" ht="14.25" customHeight="1" x14ac:dyDescent="0.3">
      <c r="B60" s="1"/>
    </row>
    <row r="61" spans="2:2" ht="14.25" customHeight="1" x14ac:dyDescent="0.3">
      <c r="B61" s="1"/>
    </row>
    <row r="62" spans="2:2" ht="14.25" customHeight="1" x14ac:dyDescent="0.3">
      <c r="B62" s="1"/>
    </row>
    <row r="63" spans="2:2" ht="14.25" customHeight="1" x14ac:dyDescent="0.3">
      <c r="B63" s="1"/>
    </row>
    <row r="64" spans="2:2" ht="14.25" customHeight="1" x14ac:dyDescent="0.3">
      <c r="B64" s="1"/>
    </row>
    <row r="65" spans="2:2" ht="14.25" customHeight="1" x14ac:dyDescent="0.3">
      <c r="B65" s="1"/>
    </row>
    <row r="66" spans="2:2" ht="14.25" customHeight="1" x14ac:dyDescent="0.3">
      <c r="B66" s="1"/>
    </row>
    <row r="67" spans="2:2" ht="14.25" customHeight="1" x14ac:dyDescent="0.3">
      <c r="B67" s="1"/>
    </row>
    <row r="68" spans="2:2" ht="14.25" customHeight="1" x14ac:dyDescent="0.3">
      <c r="B68" s="1"/>
    </row>
    <row r="69" spans="2:2" ht="14.25" customHeight="1" x14ac:dyDescent="0.3">
      <c r="B69" s="1"/>
    </row>
    <row r="70" spans="2:2" ht="14.25" customHeight="1" x14ac:dyDescent="0.3">
      <c r="B70" s="1"/>
    </row>
    <row r="71" spans="2:2" ht="14.25" customHeight="1" x14ac:dyDescent="0.3">
      <c r="B71" s="1"/>
    </row>
    <row r="72" spans="2:2" ht="14.25" customHeight="1" x14ac:dyDescent="0.3">
      <c r="B72" s="1"/>
    </row>
    <row r="73" spans="2:2" ht="14.25" customHeight="1" x14ac:dyDescent="0.3">
      <c r="B73" s="1"/>
    </row>
    <row r="74" spans="2:2" ht="14.25" customHeight="1" x14ac:dyDescent="0.3">
      <c r="B74" s="1"/>
    </row>
    <row r="75" spans="2:2" ht="14.25" customHeight="1" x14ac:dyDescent="0.3">
      <c r="B75" s="1"/>
    </row>
    <row r="76" spans="2:2" ht="14.25" customHeight="1" x14ac:dyDescent="0.3">
      <c r="B76" s="1"/>
    </row>
    <row r="77" spans="2:2" ht="14.25" customHeight="1" x14ac:dyDescent="0.3">
      <c r="B77" s="1"/>
    </row>
    <row r="78" spans="2:2" ht="14.25" customHeight="1" x14ac:dyDescent="0.3">
      <c r="B78" s="1"/>
    </row>
    <row r="79" spans="2:2" ht="14.25" customHeight="1" x14ac:dyDescent="0.3">
      <c r="B79" s="1"/>
    </row>
    <row r="80" spans="2:2" ht="14.25" customHeight="1" x14ac:dyDescent="0.3">
      <c r="B80" s="1"/>
    </row>
    <row r="81" spans="2:2" ht="14.25" customHeight="1" x14ac:dyDescent="0.3">
      <c r="B81" s="1"/>
    </row>
    <row r="82" spans="2:2" ht="14.25" customHeight="1" x14ac:dyDescent="0.3">
      <c r="B82" s="1"/>
    </row>
    <row r="83" spans="2:2" ht="14.25" customHeight="1" x14ac:dyDescent="0.3">
      <c r="B83" s="1"/>
    </row>
    <row r="84" spans="2:2" ht="14.25" customHeight="1" x14ac:dyDescent="0.3">
      <c r="B84" s="1"/>
    </row>
    <row r="85" spans="2:2" ht="14.25" customHeight="1" x14ac:dyDescent="0.3">
      <c r="B85" s="1"/>
    </row>
    <row r="86" spans="2:2" ht="14.25" customHeight="1" x14ac:dyDescent="0.3">
      <c r="B86" s="1"/>
    </row>
    <row r="87" spans="2:2" ht="14.25" customHeight="1" x14ac:dyDescent="0.3">
      <c r="B87" s="1"/>
    </row>
    <row r="88" spans="2:2" ht="14.25" customHeight="1" x14ac:dyDescent="0.3">
      <c r="B88" s="1"/>
    </row>
    <row r="89" spans="2:2" ht="14.25" customHeight="1" x14ac:dyDescent="0.3">
      <c r="B89" s="1"/>
    </row>
    <row r="90" spans="2:2" ht="14.25" customHeight="1" x14ac:dyDescent="0.3">
      <c r="B90" s="1"/>
    </row>
    <row r="91" spans="2:2" ht="14.25" customHeight="1" x14ac:dyDescent="0.3">
      <c r="B91" s="1"/>
    </row>
    <row r="92" spans="2:2" ht="14.25" customHeight="1" x14ac:dyDescent="0.3">
      <c r="B92" s="1"/>
    </row>
    <row r="93" spans="2:2" ht="14.25" customHeight="1" x14ac:dyDescent="0.3">
      <c r="B93" s="1"/>
    </row>
    <row r="94" spans="2:2" ht="14.25" customHeight="1" x14ac:dyDescent="0.3">
      <c r="B94" s="1"/>
    </row>
    <row r="95" spans="2:2" ht="14.25" customHeight="1" x14ac:dyDescent="0.3">
      <c r="B95" s="1"/>
    </row>
    <row r="96" spans="2:2" ht="14.25" customHeight="1" x14ac:dyDescent="0.3">
      <c r="B96" s="1"/>
    </row>
    <row r="97" spans="2:2" ht="14.25" customHeight="1" x14ac:dyDescent="0.3">
      <c r="B97" s="1"/>
    </row>
    <row r="98" spans="2:2" ht="14.25" customHeight="1" x14ac:dyDescent="0.3">
      <c r="B98" s="1"/>
    </row>
    <row r="99" spans="2:2" ht="14.25" customHeight="1" x14ac:dyDescent="0.3">
      <c r="B99" s="1"/>
    </row>
    <row r="100" spans="2:2" ht="14.25" customHeight="1" x14ac:dyDescent="0.3">
      <c r="B100" s="1"/>
    </row>
    <row r="101" spans="2:2" ht="14.25" customHeight="1" x14ac:dyDescent="0.3">
      <c r="B101" s="1"/>
    </row>
    <row r="102" spans="2:2" ht="14.25" customHeight="1" x14ac:dyDescent="0.3">
      <c r="B102" s="1"/>
    </row>
    <row r="103" spans="2:2" ht="14.25" customHeight="1" x14ac:dyDescent="0.3">
      <c r="B103" s="1"/>
    </row>
    <row r="104" spans="2:2" ht="14.25" customHeight="1" x14ac:dyDescent="0.3">
      <c r="B104" s="1"/>
    </row>
    <row r="105" spans="2:2" ht="14.25" customHeight="1" x14ac:dyDescent="0.3">
      <c r="B105" s="1"/>
    </row>
    <row r="106" spans="2:2" ht="14.25" customHeight="1" x14ac:dyDescent="0.3">
      <c r="B106" s="1"/>
    </row>
    <row r="107" spans="2:2" ht="14.25" customHeight="1" x14ac:dyDescent="0.3">
      <c r="B107" s="1"/>
    </row>
    <row r="108" spans="2:2" ht="14.25" customHeight="1" x14ac:dyDescent="0.3">
      <c r="B108" s="1"/>
    </row>
    <row r="109" spans="2:2" ht="14.25" customHeight="1" x14ac:dyDescent="0.3">
      <c r="B109" s="1"/>
    </row>
    <row r="110" spans="2:2" ht="14.25" customHeight="1" x14ac:dyDescent="0.3">
      <c r="B110" s="1"/>
    </row>
    <row r="111" spans="2:2" ht="14.25" customHeight="1" x14ac:dyDescent="0.3">
      <c r="B111" s="1"/>
    </row>
    <row r="112" spans="2:2" ht="14.25" customHeight="1" x14ac:dyDescent="0.3">
      <c r="B112" s="1"/>
    </row>
    <row r="113" spans="2:2" ht="14.25" customHeight="1" x14ac:dyDescent="0.3">
      <c r="B113" s="1"/>
    </row>
    <row r="114" spans="2:2" ht="14.25" customHeight="1" x14ac:dyDescent="0.3">
      <c r="B114" s="1"/>
    </row>
    <row r="115" spans="2:2" ht="14.25" customHeight="1" x14ac:dyDescent="0.3">
      <c r="B115" s="1"/>
    </row>
    <row r="116" spans="2:2" ht="14.25" customHeight="1" x14ac:dyDescent="0.3">
      <c r="B116" s="1"/>
    </row>
    <row r="117" spans="2:2" ht="14.25" customHeight="1" x14ac:dyDescent="0.3">
      <c r="B117" s="1"/>
    </row>
    <row r="118" spans="2:2" ht="14.25" customHeight="1" x14ac:dyDescent="0.3">
      <c r="B118" s="1"/>
    </row>
    <row r="119" spans="2:2" ht="14.25" customHeight="1" x14ac:dyDescent="0.3">
      <c r="B119" s="1"/>
    </row>
    <row r="120" spans="2:2" ht="14.25" customHeight="1" x14ac:dyDescent="0.3">
      <c r="B120" s="1"/>
    </row>
    <row r="121" spans="2:2" ht="14.25" customHeight="1" x14ac:dyDescent="0.3">
      <c r="B121" s="1"/>
    </row>
    <row r="122" spans="2:2" ht="14.25" customHeight="1" x14ac:dyDescent="0.3">
      <c r="B122" s="1"/>
    </row>
    <row r="123" spans="2:2" ht="14.25" customHeight="1" x14ac:dyDescent="0.3">
      <c r="B123" s="1"/>
    </row>
    <row r="124" spans="2:2" ht="14.25" customHeight="1" x14ac:dyDescent="0.3">
      <c r="B124" s="1"/>
    </row>
    <row r="125" spans="2:2" ht="14.25" customHeight="1" x14ac:dyDescent="0.3">
      <c r="B125" s="1"/>
    </row>
    <row r="126" spans="2:2" ht="14.25" customHeight="1" x14ac:dyDescent="0.3">
      <c r="B126" s="1"/>
    </row>
    <row r="127" spans="2:2" ht="14.25" customHeight="1" x14ac:dyDescent="0.3">
      <c r="B127" s="1"/>
    </row>
    <row r="128" spans="2:2" ht="14.25" customHeight="1" x14ac:dyDescent="0.3">
      <c r="B128" s="1"/>
    </row>
    <row r="129" spans="2:2" ht="14.25" customHeight="1" x14ac:dyDescent="0.3">
      <c r="B129" s="1"/>
    </row>
    <row r="130" spans="2:2" ht="14.25" customHeight="1" x14ac:dyDescent="0.3">
      <c r="B130" s="1"/>
    </row>
    <row r="131" spans="2:2" ht="14.25" customHeight="1" x14ac:dyDescent="0.3">
      <c r="B131" s="1"/>
    </row>
    <row r="132" spans="2:2" ht="14.25" customHeight="1" x14ac:dyDescent="0.3">
      <c r="B132" s="1"/>
    </row>
    <row r="133" spans="2:2" ht="14.25" customHeight="1" x14ac:dyDescent="0.3">
      <c r="B133" s="1"/>
    </row>
    <row r="134" spans="2:2" ht="14.25" customHeight="1" x14ac:dyDescent="0.3">
      <c r="B134" s="1"/>
    </row>
    <row r="135" spans="2:2" ht="14.25" customHeight="1" x14ac:dyDescent="0.3">
      <c r="B135" s="1"/>
    </row>
    <row r="136" spans="2:2" ht="14.25" customHeight="1" x14ac:dyDescent="0.3">
      <c r="B136" s="1"/>
    </row>
    <row r="137" spans="2:2" ht="14.25" customHeight="1" x14ac:dyDescent="0.3">
      <c r="B137" s="1"/>
    </row>
    <row r="138" spans="2:2" ht="14.25" customHeight="1" x14ac:dyDescent="0.3">
      <c r="B138" s="1"/>
    </row>
    <row r="139" spans="2:2" ht="14.25" customHeight="1" x14ac:dyDescent="0.3">
      <c r="B139" s="1"/>
    </row>
    <row r="140" spans="2:2" ht="14.25" customHeight="1" x14ac:dyDescent="0.3">
      <c r="B140" s="1"/>
    </row>
    <row r="141" spans="2:2" ht="14.25" customHeight="1" x14ac:dyDescent="0.3">
      <c r="B141" s="1"/>
    </row>
    <row r="142" spans="2:2" ht="14.25" customHeight="1" x14ac:dyDescent="0.3">
      <c r="B142" s="1"/>
    </row>
    <row r="143" spans="2:2" ht="14.25" customHeight="1" x14ac:dyDescent="0.3">
      <c r="B143" s="1"/>
    </row>
    <row r="144" spans="2:2" ht="14.25" customHeight="1" x14ac:dyDescent="0.3">
      <c r="B144" s="1"/>
    </row>
    <row r="145" spans="2:2" ht="14.25" customHeight="1" x14ac:dyDescent="0.3">
      <c r="B145" s="1"/>
    </row>
    <row r="146" spans="2:2" ht="14.25" customHeight="1" x14ac:dyDescent="0.3">
      <c r="B146" s="1"/>
    </row>
    <row r="147" spans="2:2" ht="14.25" customHeight="1" x14ac:dyDescent="0.3">
      <c r="B147" s="1"/>
    </row>
    <row r="148" spans="2:2" ht="14.25" customHeight="1" x14ac:dyDescent="0.3">
      <c r="B148" s="1"/>
    </row>
    <row r="149" spans="2:2" ht="14.25" customHeight="1" x14ac:dyDescent="0.3">
      <c r="B149" s="1"/>
    </row>
    <row r="150" spans="2:2" ht="14.25" customHeight="1" x14ac:dyDescent="0.3">
      <c r="B150" s="1"/>
    </row>
    <row r="151" spans="2:2" ht="14.25" customHeight="1" x14ac:dyDescent="0.3">
      <c r="B151" s="1"/>
    </row>
    <row r="152" spans="2:2" ht="14.25" customHeight="1" x14ac:dyDescent="0.3">
      <c r="B152" s="1"/>
    </row>
    <row r="153" spans="2:2" ht="14.25" customHeight="1" x14ac:dyDescent="0.3">
      <c r="B153" s="1"/>
    </row>
    <row r="154" spans="2:2" ht="14.25" customHeight="1" x14ac:dyDescent="0.3">
      <c r="B154" s="1"/>
    </row>
    <row r="155" spans="2:2" ht="14.25" customHeight="1" x14ac:dyDescent="0.3">
      <c r="B155" s="1"/>
    </row>
    <row r="156" spans="2:2" ht="14.25" customHeight="1" x14ac:dyDescent="0.3">
      <c r="B156" s="1"/>
    </row>
    <row r="157" spans="2:2" ht="14.25" customHeight="1" x14ac:dyDescent="0.3">
      <c r="B157" s="1"/>
    </row>
    <row r="158" spans="2:2" ht="14.25" customHeight="1" x14ac:dyDescent="0.3">
      <c r="B158" s="1"/>
    </row>
    <row r="159" spans="2:2" ht="14.25" customHeight="1" x14ac:dyDescent="0.3">
      <c r="B159" s="1"/>
    </row>
    <row r="160" spans="2:2" ht="14.25" customHeight="1" x14ac:dyDescent="0.3">
      <c r="B160" s="1"/>
    </row>
    <row r="161" spans="2:2" ht="14.25" customHeight="1" x14ac:dyDescent="0.3">
      <c r="B161" s="1"/>
    </row>
    <row r="162" spans="2:2" ht="14.25" customHeight="1" x14ac:dyDescent="0.3">
      <c r="B162" s="1"/>
    </row>
    <row r="163" spans="2:2" ht="14.25" customHeight="1" x14ac:dyDescent="0.3">
      <c r="B163" s="1"/>
    </row>
    <row r="164" spans="2:2" ht="14.25" customHeight="1" x14ac:dyDescent="0.3">
      <c r="B164" s="1"/>
    </row>
    <row r="165" spans="2:2" ht="14.25" customHeight="1" x14ac:dyDescent="0.3">
      <c r="B165" s="1"/>
    </row>
    <row r="166" spans="2:2" ht="14.25" customHeight="1" x14ac:dyDescent="0.3">
      <c r="B166" s="1"/>
    </row>
    <row r="167" spans="2:2" ht="14.25" customHeight="1" x14ac:dyDescent="0.3">
      <c r="B167" s="1"/>
    </row>
    <row r="168" spans="2:2" ht="14.25" customHeight="1" x14ac:dyDescent="0.3">
      <c r="B168" s="1"/>
    </row>
    <row r="169" spans="2:2" ht="14.25" customHeight="1" x14ac:dyDescent="0.3">
      <c r="B169" s="1"/>
    </row>
    <row r="170" spans="2:2" ht="14.25" customHeight="1" x14ac:dyDescent="0.3">
      <c r="B170" s="1"/>
    </row>
    <row r="171" spans="2:2" ht="14.25" customHeight="1" x14ac:dyDescent="0.3">
      <c r="B171" s="1"/>
    </row>
    <row r="172" spans="2:2" ht="14.25" customHeight="1" x14ac:dyDescent="0.3">
      <c r="B172" s="1"/>
    </row>
    <row r="173" spans="2:2" ht="14.25" customHeight="1" x14ac:dyDescent="0.3">
      <c r="B173" s="1"/>
    </row>
    <row r="174" spans="2:2" ht="14.25" customHeight="1" x14ac:dyDescent="0.3">
      <c r="B174" s="1"/>
    </row>
    <row r="175" spans="2:2" ht="14.25" customHeight="1" x14ac:dyDescent="0.3">
      <c r="B175" s="1"/>
    </row>
    <row r="176" spans="2:2" ht="14.25" customHeight="1" x14ac:dyDescent="0.3">
      <c r="B176" s="1"/>
    </row>
    <row r="177" spans="2:2" ht="14.25" customHeight="1" x14ac:dyDescent="0.3">
      <c r="B177" s="1"/>
    </row>
    <row r="178" spans="2:2" ht="14.25" customHeight="1" x14ac:dyDescent="0.3">
      <c r="B178" s="1"/>
    </row>
    <row r="179" spans="2:2" ht="14.25" customHeight="1" x14ac:dyDescent="0.3">
      <c r="B179" s="1"/>
    </row>
    <row r="180" spans="2:2" ht="14.25" customHeight="1" x14ac:dyDescent="0.3">
      <c r="B180" s="1"/>
    </row>
    <row r="181" spans="2:2" ht="14.25" customHeight="1" x14ac:dyDescent="0.3">
      <c r="B181" s="1"/>
    </row>
    <row r="182" spans="2:2" ht="14.25" customHeight="1" x14ac:dyDescent="0.3">
      <c r="B182" s="1"/>
    </row>
    <row r="183" spans="2:2" ht="14.25" customHeight="1" x14ac:dyDescent="0.3">
      <c r="B183" s="1"/>
    </row>
    <row r="184" spans="2:2" ht="14.25" customHeight="1" x14ac:dyDescent="0.3">
      <c r="B184" s="1"/>
    </row>
    <row r="185" spans="2:2" ht="14.25" customHeight="1" x14ac:dyDescent="0.3">
      <c r="B185" s="1"/>
    </row>
    <row r="186" spans="2:2" ht="14.25" customHeight="1" x14ac:dyDescent="0.3">
      <c r="B186" s="1"/>
    </row>
    <row r="187" spans="2:2" ht="14.25" customHeight="1" x14ac:dyDescent="0.3">
      <c r="B187" s="1"/>
    </row>
    <row r="188" spans="2:2" ht="14.25" customHeight="1" x14ac:dyDescent="0.3">
      <c r="B188" s="1"/>
    </row>
    <row r="189" spans="2:2" ht="14.25" customHeight="1" x14ac:dyDescent="0.3">
      <c r="B189" s="1"/>
    </row>
    <row r="190" spans="2:2" ht="14.25" customHeight="1" x14ac:dyDescent="0.3">
      <c r="B190" s="1"/>
    </row>
    <row r="191" spans="2:2" ht="14.25" customHeight="1" x14ac:dyDescent="0.3">
      <c r="B191" s="1"/>
    </row>
    <row r="192" spans="2:2" ht="14.25" customHeight="1" x14ac:dyDescent="0.3">
      <c r="B192" s="1"/>
    </row>
    <row r="193" spans="2:2" ht="14.25" customHeight="1" x14ac:dyDescent="0.3">
      <c r="B193" s="1"/>
    </row>
    <row r="194" spans="2:2" ht="14.25" customHeight="1" x14ac:dyDescent="0.3">
      <c r="B194" s="1"/>
    </row>
    <row r="195" spans="2:2" ht="14.25" customHeight="1" x14ac:dyDescent="0.3">
      <c r="B195" s="1"/>
    </row>
    <row r="196" spans="2:2" ht="14.25" customHeight="1" x14ac:dyDescent="0.3">
      <c r="B196" s="1"/>
    </row>
    <row r="197" spans="2:2" ht="14.25" customHeight="1" x14ac:dyDescent="0.3">
      <c r="B197" s="1"/>
    </row>
    <row r="198" spans="2:2" ht="14.25" customHeight="1" x14ac:dyDescent="0.3">
      <c r="B198" s="1"/>
    </row>
    <row r="199" spans="2:2" ht="14.25" customHeight="1" x14ac:dyDescent="0.3">
      <c r="B199" s="1"/>
    </row>
    <row r="200" spans="2:2" ht="14.25" customHeight="1" x14ac:dyDescent="0.3">
      <c r="B200" s="1"/>
    </row>
    <row r="201" spans="2:2" ht="14.25" customHeight="1" x14ac:dyDescent="0.3">
      <c r="B201" s="1"/>
    </row>
    <row r="202" spans="2:2" ht="14.25" customHeight="1" x14ac:dyDescent="0.3">
      <c r="B202" s="1"/>
    </row>
    <row r="203" spans="2:2" ht="14.25" customHeight="1" x14ac:dyDescent="0.3">
      <c r="B203" s="1"/>
    </row>
    <row r="204" spans="2:2" ht="14.25" customHeight="1" x14ac:dyDescent="0.3">
      <c r="B204" s="1"/>
    </row>
    <row r="205" spans="2:2" ht="14.25" customHeight="1" x14ac:dyDescent="0.3">
      <c r="B205" s="1"/>
    </row>
    <row r="206" spans="2:2" ht="14.25" customHeight="1" x14ac:dyDescent="0.3">
      <c r="B206" s="1"/>
    </row>
    <row r="207" spans="2:2" ht="14.25" customHeight="1" x14ac:dyDescent="0.3">
      <c r="B207" s="1"/>
    </row>
    <row r="208" spans="2:2" ht="14.25" customHeight="1" x14ac:dyDescent="0.3">
      <c r="B208" s="1"/>
    </row>
    <row r="209" spans="2:2" ht="14.25" customHeight="1" x14ac:dyDescent="0.3">
      <c r="B209" s="1"/>
    </row>
    <row r="210" spans="2:2" ht="14.25" customHeight="1" x14ac:dyDescent="0.3">
      <c r="B210" s="1"/>
    </row>
    <row r="211" spans="2:2" ht="14.25" customHeight="1" x14ac:dyDescent="0.3">
      <c r="B211" s="1"/>
    </row>
    <row r="212" spans="2:2" ht="14.25" customHeight="1" x14ac:dyDescent="0.3">
      <c r="B212" s="1"/>
    </row>
    <row r="213" spans="2:2" ht="14.25" customHeight="1" x14ac:dyDescent="0.3">
      <c r="B213" s="1"/>
    </row>
    <row r="214" spans="2:2" ht="14.25" customHeight="1" x14ac:dyDescent="0.3">
      <c r="B214" s="1"/>
    </row>
    <row r="215" spans="2:2" ht="14.25" customHeight="1" x14ac:dyDescent="0.3">
      <c r="B215" s="1"/>
    </row>
    <row r="216" spans="2:2" ht="14.25" customHeight="1" x14ac:dyDescent="0.3">
      <c r="B216" s="1"/>
    </row>
    <row r="217" spans="2:2" ht="14.25" customHeight="1" x14ac:dyDescent="0.3">
      <c r="B217" s="1"/>
    </row>
    <row r="218" spans="2:2" ht="14.25" customHeight="1" x14ac:dyDescent="0.3">
      <c r="B218" s="1"/>
    </row>
    <row r="219" spans="2:2" ht="14.25" customHeight="1" x14ac:dyDescent="0.3">
      <c r="B219" s="1"/>
    </row>
    <row r="220" spans="2:2" ht="14.25" customHeight="1" x14ac:dyDescent="0.3">
      <c r="B220" s="1"/>
    </row>
    <row r="221" spans="2:2" ht="15.75" customHeight="1" x14ac:dyDescent="0.25"/>
    <row r="222" spans="2:2" ht="15.75" customHeight="1" x14ac:dyDescent="0.25"/>
    <row r="223" spans="2:2" ht="15.75" customHeight="1" x14ac:dyDescent="0.25"/>
    <row r="224" spans="2:2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C2:V2"/>
    <mergeCell ref="C3:N3"/>
    <mergeCell ref="O3:R3"/>
    <mergeCell ref="S3:V3"/>
    <mergeCell ref="B19:B20"/>
    <mergeCell ref="C19:E19"/>
    <mergeCell ref="F19:H19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5"/>
  <sheetViews>
    <sheetView tabSelected="1" topLeftCell="A19" workbookViewId="0">
      <selection activeCell="E27" sqref="E27"/>
    </sheetView>
  </sheetViews>
  <sheetFormatPr defaultColWidth="12.69921875" defaultRowHeight="15" customHeight="1" x14ac:dyDescent="0.25"/>
  <cols>
    <col min="1" max="1" width="38.19921875" customWidth="1"/>
    <col min="2" max="2" width="16.5" customWidth="1"/>
    <col min="3" max="3" width="10" customWidth="1"/>
    <col min="4" max="5" width="8.3984375" bestFit="1" customWidth="1"/>
    <col min="6" max="6" width="11.796875" customWidth="1"/>
    <col min="7" max="7" width="17.69921875" customWidth="1"/>
    <col min="8" max="8" width="16.796875" customWidth="1"/>
    <col min="9" max="9" width="8.3984375" customWidth="1"/>
    <col min="10" max="10" width="9.5" customWidth="1"/>
    <col min="11" max="11" width="10.8984375" customWidth="1"/>
    <col min="12" max="12" width="10.796875" customWidth="1"/>
    <col min="13" max="13" width="11.59765625" customWidth="1"/>
    <col min="14" max="14" width="11.5" customWidth="1"/>
    <col min="15" max="15" width="11.796875" customWidth="1"/>
    <col min="16" max="16" width="11.19921875" customWidth="1"/>
    <col min="17" max="17" width="10.8984375" customWidth="1"/>
    <col min="18" max="18" width="10.796875" customWidth="1"/>
    <col min="19" max="19" width="10.69921875" customWidth="1"/>
    <col min="20" max="20" width="11.19921875" customWidth="1"/>
    <col min="21" max="21" width="12.5" customWidth="1"/>
    <col min="22" max="22" width="7.796875" customWidth="1"/>
    <col min="23" max="23" width="7.69921875" customWidth="1"/>
    <col min="24" max="24" width="11.19921875" customWidth="1"/>
    <col min="25" max="26" width="7.69921875" customWidth="1"/>
  </cols>
  <sheetData>
    <row r="1" spans="1:26" ht="14.25" customHeight="1" x14ac:dyDescent="0.3">
      <c r="B1" s="1"/>
    </row>
    <row r="2" spans="1:26" ht="14.25" customHeight="1" x14ac:dyDescent="0.3">
      <c r="B2" s="1"/>
      <c r="C2" s="156" t="s">
        <v>63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19"/>
      <c r="O2" s="156" t="s">
        <v>64</v>
      </c>
      <c r="P2" s="157"/>
      <c r="Q2" s="157"/>
      <c r="R2" s="119"/>
      <c r="S2" s="156" t="s">
        <v>65</v>
      </c>
      <c r="T2" s="157"/>
      <c r="U2" s="157"/>
      <c r="V2" s="119"/>
    </row>
    <row r="3" spans="1:26" ht="14.25" customHeight="1" x14ac:dyDescent="0.3">
      <c r="A3" s="31"/>
      <c r="B3" s="37"/>
      <c r="C3" s="38">
        <v>1</v>
      </c>
      <c r="D3" s="39">
        <v>2</v>
      </c>
      <c r="E3" s="39">
        <v>3</v>
      </c>
      <c r="F3" s="39">
        <v>4</v>
      </c>
      <c r="G3" s="39">
        <v>5</v>
      </c>
      <c r="H3" s="39">
        <v>6</v>
      </c>
      <c r="I3" s="39">
        <v>7</v>
      </c>
      <c r="J3" s="39">
        <v>8</v>
      </c>
      <c r="K3" s="39">
        <v>9</v>
      </c>
      <c r="L3" s="39">
        <v>10</v>
      </c>
      <c r="M3" s="39">
        <v>11</v>
      </c>
      <c r="N3" s="40">
        <v>12</v>
      </c>
      <c r="O3" s="38" t="s">
        <v>66</v>
      </c>
      <c r="P3" s="39" t="s">
        <v>67</v>
      </c>
      <c r="Q3" s="39" t="s">
        <v>68</v>
      </c>
      <c r="R3" s="40" t="s">
        <v>69</v>
      </c>
      <c r="S3" s="38" t="s">
        <v>66</v>
      </c>
      <c r="T3" s="39" t="s">
        <v>67</v>
      </c>
      <c r="U3" s="39" t="s">
        <v>68</v>
      </c>
      <c r="V3" s="40" t="s">
        <v>69</v>
      </c>
      <c r="W3" s="31"/>
      <c r="X3" s="31"/>
      <c r="Y3" s="31"/>
      <c r="Z3" s="31"/>
    </row>
    <row r="4" spans="1:26" ht="14.25" customHeight="1" x14ac:dyDescent="0.3">
      <c r="B4" s="41" t="s">
        <v>70</v>
      </c>
      <c r="C4" s="22">
        <f>E34</f>
        <v>0</v>
      </c>
      <c r="D4" s="17">
        <f>E35</f>
        <v>0</v>
      </c>
      <c r="E4" s="17">
        <f>B36</f>
        <v>0</v>
      </c>
      <c r="F4" s="17">
        <v>0</v>
      </c>
      <c r="G4" s="17">
        <f>E38</f>
        <v>175500</v>
      </c>
      <c r="H4" s="17">
        <f>E39</f>
        <v>234000</v>
      </c>
      <c r="I4" s="17">
        <f>E40</f>
        <v>234000</v>
      </c>
      <c r="J4" s="17">
        <f>E41</f>
        <v>351000</v>
      </c>
      <c r="K4" s="17">
        <f>E42</f>
        <v>351000</v>
      </c>
      <c r="L4" s="17">
        <f>E43</f>
        <v>351000</v>
      </c>
      <c r="M4" s="17">
        <f>E44</f>
        <v>468000</v>
      </c>
      <c r="N4" s="23">
        <f>E45</f>
        <v>468000</v>
      </c>
      <c r="O4" s="22">
        <f>F34+F35+F36</f>
        <v>1872000</v>
      </c>
      <c r="P4" s="17">
        <f>F37+F38+F39</f>
        <v>2223000</v>
      </c>
      <c r="Q4" s="17">
        <f>F40+F41+F42</f>
        <v>2457000</v>
      </c>
      <c r="R4" s="23">
        <f>F43+F44+F45</f>
        <v>2457000</v>
      </c>
      <c r="S4" s="22">
        <f>G34+G35+G36</f>
        <v>2457000</v>
      </c>
      <c r="T4" s="17">
        <f>S4</f>
        <v>2457000</v>
      </c>
      <c r="U4" s="17">
        <f>T4</f>
        <v>2457000</v>
      </c>
      <c r="V4" s="23">
        <f>U4</f>
        <v>2457000</v>
      </c>
    </row>
    <row r="5" spans="1:26" ht="14.25" customHeight="1" x14ac:dyDescent="0.3">
      <c r="B5" s="41" t="s">
        <v>71</v>
      </c>
      <c r="C5" s="22"/>
      <c r="D5" s="17"/>
      <c r="E5" s="17"/>
      <c r="F5" s="17"/>
      <c r="G5" s="17"/>
      <c r="H5" s="17"/>
      <c r="I5" s="17"/>
      <c r="J5" s="17"/>
      <c r="K5" s="17"/>
      <c r="L5" s="17"/>
      <c r="M5" s="17"/>
      <c r="N5" s="23"/>
      <c r="O5" s="22"/>
      <c r="P5" s="17"/>
      <c r="Q5" s="17"/>
      <c r="R5" s="23"/>
      <c r="S5" s="22"/>
      <c r="T5" s="17"/>
      <c r="U5" s="17"/>
      <c r="V5" s="23"/>
    </row>
    <row r="6" spans="1:26" ht="14.25" customHeight="1" x14ac:dyDescent="0.3">
      <c r="B6" s="42" t="s">
        <v>72</v>
      </c>
      <c r="C6" s="22">
        <f>B60*1000</f>
        <v>0</v>
      </c>
      <c r="D6" s="22">
        <f t="shared" ref="D6:N6" si="0">C60*1000</f>
        <v>0</v>
      </c>
      <c r="E6" s="22">
        <f t="shared" si="0"/>
        <v>0</v>
      </c>
      <c r="F6" s="22">
        <f t="shared" si="0"/>
        <v>30000</v>
      </c>
      <c r="G6" s="22">
        <f t="shared" si="0"/>
        <v>37850</v>
      </c>
      <c r="H6" s="22">
        <f t="shared" si="0"/>
        <v>37850</v>
      </c>
      <c r="I6" s="22">
        <f t="shared" si="0"/>
        <v>37850</v>
      </c>
      <c r="J6" s="22">
        <f t="shared" si="0"/>
        <v>37850</v>
      </c>
      <c r="K6" s="22">
        <f t="shared" si="0"/>
        <v>37850</v>
      </c>
      <c r="L6" s="22">
        <f t="shared" si="0"/>
        <v>37850</v>
      </c>
      <c r="M6" s="22">
        <f t="shared" si="0"/>
        <v>37850</v>
      </c>
      <c r="N6" s="22">
        <f t="shared" si="0"/>
        <v>37850</v>
      </c>
      <c r="O6" s="22">
        <f>N6*3</f>
        <v>113550</v>
      </c>
      <c r="P6" s="17">
        <f t="shared" ref="P6:V6" si="1">O6</f>
        <v>113550</v>
      </c>
      <c r="Q6" s="17">
        <f t="shared" si="1"/>
        <v>113550</v>
      </c>
      <c r="R6" s="23">
        <f t="shared" si="1"/>
        <v>113550</v>
      </c>
      <c r="S6" s="22">
        <f t="shared" si="1"/>
        <v>113550</v>
      </c>
      <c r="T6" s="17">
        <f t="shared" si="1"/>
        <v>113550</v>
      </c>
      <c r="U6" s="17">
        <f t="shared" si="1"/>
        <v>113550</v>
      </c>
      <c r="V6" s="23">
        <f t="shared" si="1"/>
        <v>113550</v>
      </c>
    </row>
    <row r="7" spans="1:26" ht="14.25" customHeight="1" x14ac:dyDescent="0.3">
      <c r="B7" s="42" t="s">
        <v>73</v>
      </c>
      <c r="C7" s="22">
        <f>B50*1000</f>
        <v>0</v>
      </c>
      <c r="D7" s="22">
        <f t="shared" ref="D7:N7" si="2">C50*1000</f>
        <v>0</v>
      </c>
      <c r="E7" s="22">
        <f t="shared" si="2"/>
        <v>0</v>
      </c>
      <c r="F7" s="22">
        <f t="shared" si="2"/>
        <v>0</v>
      </c>
      <c r="G7" s="22">
        <f t="shared" si="2"/>
        <v>3510</v>
      </c>
      <c r="H7" s="22">
        <f t="shared" si="2"/>
        <v>46800</v>
      </c>
      <c r="I7" s="22">
        <f t="shared" si="2"/>
        <v>46800</v>
      </c>
      <c r="J7" s="22">
        <f t="shared" si="2"/>
        <v>70200</v>
      </c>
      <c r="K7" s="22">
        <f t="shared" si="2"/>
        <v>70200</v>
      </c>
      <c r="L7" s="22">
        <f t="shared" si="2"/>
        <v>70200</v>
      </c>
      <c r="M7" s="22">
        <f t="shared" si="2"/>
        <v>93600</v>
      </c>
      <c r="N7" s="22">
        <f t="shared" si="2"/>
        <v>93600</v>
      </c>
      <c r="O7" s="22">
        <f>(B51+C51+D51)*1000</f>
        <v>374400</v>
      </c>
      <c r="P7" s="17">
        <f>(E51+G51+H51)*1000</f>
        <v>468000.00000000006</v>
      </c>
      <c r="Q7" s="17">
        <f>(H51+I51+J51)*1000</f>
        <v>491400.00000000006</v>
      </c>
      <c r="R7" s="23">
        <f>(K51+L51+M51)*1000</f>
        <v>491400.00000000006</v>
      </c>
      <c r="S7" s="22">
        <f>(C52+D52+E52)*1000</f>
        <v>491400.00000000006</v>
      </c>
      <c r="T7" s="17">
        <f>(F52+G52+H52)*1000</f>
        <v>491400.00000000006</v>
      </c>
      <c r="U7" s="17">
        <f>(H52+I52+J52)*1000</f>
        <v>491400.00000000006</v>
      </c>
      <c r="V7" s="23">
        <f>(K52+L52+M52)*1000</f>
        <v>491400.00000000006</v>
      </c>
    </row>
    <row r="8" spans="1:26" ht="14.25" customHeight="1" x14ac:dyDescent="0.3">
      <c r="B8" s="36" t="s">
        <v>74</v>
      </c>
      <c r="C8" s="22">
        <f>D10</f>
        <v>0</v>
      </c>
      <c r="D8" s="17"/>
      <c r="E8" s="17"/>
      <c r="F8" s="17">
        <f>F4-F6-F7</f>
        <v>-30000</v>
      </c>
      <c r="G8" s="17">
        <f t="shared" ref="G8:V8" si="3">G4-G6-G7</f>
        <v>134140</v>
      </c>
      <c r="H8" s="17">
        <f t="shared" si="3"/>
        <v>149350</v>
      </c>
      <c r="I8" s="17">
        <f t="shared" si="3"/>
        <v>149350</v>
      </c>
      <c r="J8" s="17">
        <f t="shared" si="3"/>
        <v>242950</v>
      </c>
      <c r="K8" s="17">
        <f t="shared" si="3"/>
        <v>242950</v>
      </c>
      <c r="L8" s="17">
        <f t="shared" si="3"/>
        <v>242950</v>
      </c>
      <c r="M8" s="17">
        <f t="shared" si="3"/>
        <v>336550</v>
      </c>
      <c r="N8" s="17">
        <f t="shared" si="3"/>
        <v>336550</v>
      </c>
      <c r="O8" s="17">
        <f t="shared" si="3"/>
        <v>1384050</v>
      </c>
      <c r="P8" s="17">
        <f t="shared" si="3"/>
        <v>1641450</v>
      </c>
      <c r="Q8" s="17">
        <f t="shared" si="3"/>
        <v>1852050</v>
      </c>
      <c r="R8" s="17">
        <f t="shared" si="3"/>
        <v>1852050</v>
      </c>
      <c r="S8" s="17">
        <f t="shared" si="3"/>
        <v>1852050</v>
      </c>
      <c r="T8" s="17">
        <f t="shared" si="3"/>
        <v>1852050</v>
      </c>
      <c r="U8" s="17">
        <f t="shared" si="3"/>
        <v>1852050</v>
      </c>
      <c r="V8" s="17">
        <f t="shared" si="3"/>
        <v>1852050</v>
      </c>
    </row>
    <row r="9" spans="1:26" ht="14.25" customHeight="1" x14ac:dyDescent="0.3">
      <c r="B9" s="36" t="s">
        <v>75</v>
      </c>
      <c r="C9" s="22">
        <f>C77</f>
        <v>0</v>
      </c>
      <c r="D9" s="17">
        <v>0</v>
      </c>
      <c r="E9" s="17">
        <v>0</v>
      </c>
      <c r="F9" s="17">
        <f>C77</f>
        <v>0</v>
      </c>
      <c r="G9" s="17">
        <f t="shared" ref="G9:N9" si="4">D77</f>
        <v>10530</v>
      </c>
      <c r="H9" s="17">
        <f t="shared" si="4"/>
        <v>14040</v>
      </c>
      <c r="I9" s="17">
        <f t="shared" si="4"/>
        <v>14040</v>
      </c>
      <c r="J9" s="17">
        <f t="shared" si="4"/>
        <v>21060</v>
      </c>
      <c r="K9" s="17">
        <f t="shared" si="4"/>
        <v>21060</v>
      </c>
      <c r="L9" s="17">
        <f t="shared" si="4"/>
        <v>21060</v>
      </c>
      <c r="M9" s="17">
        <f t="shared" si="4"/>
        <v>28080</v>
      </c>
      <c r="N9" s="17">
        <f t="shared" si="4"/>
        <v>28080</v>
      </c>
      <c r="O9" s="22">
        <f>B98+C98+D98</f>
        <v>112320</v>
      </c>
      <c r="P9" s="17">
        <f>E98+F98+G98</f>
        <v>133380</v>
      </c>
      <c r="Q9" s="17">
        <f>H98+I98+J98</f>
        <v>147420</v>
      </c>
      <c r="R9" s="23">
        <f>K98+L98+M98</f>
        <v>147420</v>
      </c>
      <c r="S9" s="22">
        <f>B118+C118+D118</f>
        <v>147420</v>
      </c>
      <c r="T9" s="17">
        <f>E118+F118+G118</f>
        <v>147420</v>
      </c>
      <c r="U9" s="17">
        <f>H118+I118+J118</f>
        <v>147420</v>
      </c>
      <c r="V9" s="23">
        <f>K118+L118+M118</f>
        <v>147420</v>
      </c>
    </row>
    <row r="10" spans="1:26" ht="14.25" customHeight="1" x14ac:dyDescent="0.3">
      <c r="B10" s="41" t="s">
        <v>76</v>
      </c>
      <c r="C10" s="24">
        <v>0</v>
      </c>
      <c r="D10" s="25">
        <v>0</v>
      </c>
      <c r="E10" s="25">
        <v>0</v>
      </c>
      <c r="F10" s="25">
        <f>F8-F9</f>
        <v>-30000</v>
      </c>
      <c r="G10" s="25">
        <f t="shared" ref="G10:V10" si="5">G8-G9</f>
        <v>123610</v>
      </c>
      <c r="H10" s="25">
        <f t="shared" si="5"/>
        <v>135310</v>
      </c>
      <c r="I10" s="25">
        <f t="shared" si="5"/>
        <v>135310</v>
      </c>
      <c r="J10" s="25">
        <f t="shared" si="5"/>
        <v>221890</v>
      </c>
      <c r="K10" s="25">
        <f t="shared" si="5"/>
        <v>221890</v>
      </c>
      <c r="L10" s="25">
        <f t="shared" si="5"/>
        <v>221890</v>
      </c>
      <c r="M10" s="25">
        <f t="shared" si="5"/>
        <v>308470</v>
      </c>
      <c r="N10" s="25">
        <f t="shared" si="5"/>
        <v>308470</v>
      </c>
      <c r="O10" s="25">
        <f t="shared" si="5"/>
        <v>1271730</v>
      </c>
      <c r="P10" s="25">
        <f t="shared" si="5"/>
        <v>1508070</v>
      </c>
      <c r="Q10" s="25">
        <f t="shared" si="5"/>
        <v>1704630</v>
      </c>
      <c r="R10" s="25">
        <f t="shared" si="5"/>
        <v>1704630</v>
      </c>
      <c r="S10" s="25">
        <f t="shared" si="5"/>
        <v>1704630</v>
      </c>
      <c r="T10" s="25">
        <f t="shared" si="5"/>
        <v>1704630</v>
      </c>
      <c r="U10" s="25">
        <f t="shared" si="5"/>
        <v>1704630</v>
      </c>
      <c r="V10" s="25">
        <f t="shared" si="5"/>
        <v>1704630</v>
      </c>
      <c r="X10" s="258">
        <f>SUM(C10:W10)</f>
        <v>14654420</v>
      </c>
      <c r="Y10">
        <f>X10/36</f>
        <v>407067.22222222225</v>
      </c>
    </row>
    <row r="11" spans="1:26" ht="14.25" customHeight="1" x14ac:dyDescent="0.3"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6" ht="14.25" customHeight="1" x14ac:dyDescent="0.3">
      <c r="A12" s="18" t="s">
        <v>77</v>
      </c>
      <c r="B12" s="12" t="s">
        <v>78</v>
      </c>
      <c r="C12" s="17">
        <f>C13/450</f>
        <v>520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6" ht="14.25" customHeight="1" x14ac:dyDescent="0.3">
      <c r="A13" s="18" t="s">
        <v>79</v>
      </c>
      <c r="B13" s="12" t="s">
        <v>80</v>
      </c>
      <c r="C13" s="17">
        <f>B39*26*450</f>
        <v>234000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6" ht="14.4" x14ac:dyDescent="0.3">
      <c r="B14" s="12" t="s">
        <v>81</v>
      </c>
      <c r="C14" s="17">
        <f>C66</f>
        <v>690000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6" ht="24.6" x14ac:dyDescent="0.3">
      <c r="A15" s="45" t="s">
        <v>82</v>
      </c>
      <c r="B15" s="12" t="s">
        <v>83</v>
      </c>
      <c r="C15" s="17">
        <f>C14+X10</f>
        <v>15344420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6" ht="24.6" x14ac:dyDescent="0.3">
      <c r="A16" s="45" t="s">
        <v>84</v>
      </c>
      <c r="B16" s="12" t="s">
        <v>85</v>
      </c>
      <c r="C16" s="46">
        <f>Y10/C14</f>
        <v>0.58995249597423516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ht="28.8" x14ac:dyDescent="0.3">
      <c r="A17" s="45" t="s">
        <v>86</v>
      </c>
      <c r="B17" s="12" t="s">
        <v>87</v>
      </c>
      <c r="C17" s="17">
        <f>C10+C14</f>
        <v>690000</v>
      </c>
      <c r="D17" s="17">
        <f>D10+D14</f>
        <v>0</v>
      </c>
      <c r="E17" s="17">
        <f t="shared" ref="E17:V17" si="6">E10+E14</f>
        <v>0</v>
      </c>
      <c r="F17" s="17">
        <f t="shared" si="6"/>
        <v>-30000</v>
      </c>
      <c r="G17" s="17">
        <f t="shared" si="6"/>
        <v>123610</v>
      </c>
      <c r="H17" s="17">
        <f t="shared" si="6"/>
        <v>135310</v>
      </c>
      <c r="I17" s="17">
        <f t="shared" si="6"/>
        <v>135310</v>
      </c>
      <c r="J17" s="17">
        <f t="shared" si="6"/>
        <v>221890</v>
      </c>
      <c r="K17" s="17">
        <f t="shared" si="6"/>
        <v>221890</v>
      </c>
      <c r="L17" s="17">
        <f t="shared" si="6"/>
        <v>221890</v>
      </c>
      <c r="M17" s="17">
        <f t="shared" si="6"/>
        <v>308470</v>
      </c>
      <c r="N17" s="17">
        <f t="shared" si="6"/>
        <v>308470</v>
      </c>
      <c r="O17" s="17">
        <f t="shared" si="6"/>
        <v>1271730</v>
      </c>
      <c r="P17" s="17">
        <f t="shared" si="6"/>
        <v>1508070</v>
      </c>
      <c r="Q17" s="17">
        <f t="shared" si="6"/>
        <v>1704630</v>
      </c>
      <c r="R17" s="17">
        <f t="shared" si="6"/>
        <v>1704630</v>
      </c>
      <c r="S17" s="17">
        <f t="shared" si="6"/>
        <v>1704630</v>
      </c>
      <c r="T17" s="17">
        <f t="shared" si="6"/>
        <v>1704630</v>
      </c>
      <c r="U17" s="17">
        <f t="shared" si="6"/>
        <v>1704630</v>
      </c>
      <c r="V17" s="17">
        <f t="shared" si="6"/>
        <v>1704630</v>
      </c>
    </row>
    <row r="18" spans="1:22" ht="14.25" customHeight="1" x14ac:dyDescent="0.3">
      <c r="A18" s="45" t="s">
        <v>88</v>
      </c>
      <c r="B18" s="12" t="s">
        <v>89</v>
      </c>
      <c r="C18" s="51" t="s">
        <v>354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14.25" customHeight="1" x14ac:dyDescent="0.3">
      <c r="A19" s="45" t="s">
        <v>90</v>
      </c>
      <c r="B19" s="12" t="s">
        <v>91</v>
      </c>
      <c r="C19" s="17">
        <f>D222</f>
        <v>3.3268840579710144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14.25" customHeight="1" x14ac:dyDescent="0.3">
      <c r="B20" s="1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87.6" x14ac:dyDescent="0.3">
      <c r="A21" s="18" t="s">
        <v>92</v>
      </c>
      <c r="B21" s="12" t="s">
        <v>93</v>
      </c>
      <c r="C21" s="17">
        <f t="shared" ref="C21:F21" si="7">C10*0.23</f>
        <v>0</v>
      </c>
      <c r="D21" s="17">
        <f t="shared" si="7"/>
        <v>0</v>
      </c>
      <c r="E21" s="17">
        <f t="shared" si="7"/>
        <v>0</v>
      </c>
      <c r="F21" s="259">
        <f>F10*0.23/12</f>
        <v>-575</v>
      </c>
      <c r="G21" s="259">
        <f t="shared" ref="G21:M21" si="8">G10*0.23/12</f>
        <v>2369.1916666666671</v>
      </c>
      <c r="H21" s="259">
        <f t="shared" si="8"/>
        <v>2593.4416666666671</v>
      </c>
      <c r="I21" s="259">
        <f t="shared" si="8"/>
        <v>2593.4416666666671</v>
      </c>
      <c r="J21" s="259">
        <f t="shared" si="8"/>
        <v>4252.8916666666673</v>
      </c>
      <c r="K21" s="259">
        <f>K10*0.23/12</f>
        <v>4252.8916666666673</v>
      </c>
      <c r="L21" s="259">
        <f t="shared" si="8"/>
        <v>4252.8916666666673</v>
      </c>
      <c r="M21" s="259">
        <f t="shared" si="8"/>
        <v>5912.3416666666672</v>
      </c>
      <c r="N21" s="259">
        <f>N10*0.23/12</f>
        <v>5912.3416666666672</v>
      </c>
      <c r="O21" s="17">
        <f>O10*0.23/4</f>
        <v>73124.475000000006</v>
      </c>
      <c r="P21" s="17">
        <f t="shared" ref="P21:V21" si="9">P10*0.23/4</f>
        <v>86714.025000000009</v>
      </c>
      <c r="Q21" s="17">
        <f t="shared" si="9"/>
        <v>98016.225000000006</v>
      </c>
      <c r="R21" s="17">
        <f t="shared" si="9"/>
        <v>98016.225000000006</v>
      </c>
      <c r="S21" s="17">
        <f>S10*0.23/4</f>
        <v>98016.225000000006</v>
      </c>
      <c r="T21" s="17">
        <f t="shared" si="9"/>
        <v>98016.225000000006</v>
      </c>
      <c r="U21" s="17">
        <f t="shared" si="9"/>
        <v>98016.225000000006</v>
      </c>
      <c r="V21" s="17">
        <f t="shared" si="9"/>
        <v>98016.225000000006</v>
      </c>
    </row>
    <row r="22" spans="1:22" ht="28.8" x14ac:dyDescent="0.3">
      <c r="A22" s="47" t="s">
        <v>94</v>
      </c>
      <c r="B22" s="12" t="s">
        <v>95</v>
      </c>
      <c r="C22" s="17">
        <f>C10*0.23/12</f>
        <v>0</v>
      </c>
      <c r="D22" s="17">
        <f t="shared" ref="D22:V22" si="10">D10*0.23</f>
        <v>0</v>
      </c>
      <c r="E22" s="17">
        <f t="shared" si="10"/>
        <v>0</v>
      </c>
      <c r="F22" s="17">
        <f t="shared" si="10"/>
        <v>-6900</v>
      </c>
      <c r="G22" s="17">
        <f t="shared" si="10"/>
        <v>28430.300000000003</v>
      </c>
      <c r="H22" s="17">
        <f t="shared" si="10"/>
        <v>31121.300000000003</v>
      </c>
      <c r="I22" s="17">
        <f t="shared" si="10"/>
        <v>31121.300000000003</v>
      </c>
      <c r="J22" s="17">
        <f t="shared" si="10"/>
        <v>51034.700000000004</v>
      </c>
      <c r="K22" s="17">
        <f t="shared" si="10"/>
        <v>51034.700000000004</v>
      </c>
      <c r="L22" s="17">
        <f t="shared" si="10"/>
        <v>51034.700000000004</v>
      </c>
      <c r="M22" s="17">
        <f t="shared" si="10"/>
        <v>70948.100000000006</v>
      </c>
      <c r="N22" s="17">
        <f t="shared" si="10"/>
        <v>70948.100000000006</v>
      </c>
      <c r="O22" s="17">
        <f t="shared" si="10"/>
        <v>292497.90000000002</v>
      </c>
      <c r="P22" s="17">
        <f t="shared" si="10"/>
        <v>346856.10000000003</v>
      </c>
      <c r="Q22" s="17">
        <f t="shared" si="10"/>
        <v>392064.9</v>
      </c>
      <c r="R22" s="17">
        <f t="shared" si="10"/>
        <v>392064.9</v>
      </c>
      <c r="S22" s="17">
        <f t="shared" si="10"/>
        <v>392064.9</v>
      </c>
      <c r="T22" s="17">
        <f t="shared" si="10"/>
        <v>392064.9</v>
      </c>
      <c r="U22" s="17">
        <f t="shared" si="10"/>
        <v>392064.9</v>
      </c>
      <c r="V22" s="17">
        <f t="shared" si="10"/>
        <v>392064.9</v>
      </c>
    </row>
    <row r="23" spans="1:22" ht="28.8" x14ac:dyDescent="0.3">
      <c r="A23" s="47" t="s">
        <v>96</v>
      </c>
      <c r="B23" s="12" t="s">
        <v>97</v>
      </c>
      <c r="C23" s="17">
        <f>C66*0.23</f>
        <v>158700</v>
      </c>
      <c r="D23" s="17">
        <f t="shared" ref="D23:V23" si="11">D66*0.23</f>
        <v>0</v>
      </c>
      <c r="E23" s="17">
        <f t="shared" si="11"/>
        <v>53820</v>
      </c>
      <c r="F23" s="17">
        <f t="shared" si="11"/>
        <v>53820</v>
      </c>
      <c r="G23" s="17">
        <f t="shared" si="11"/>
        <v>80730</v>
      </c>
      <c r="H23" s="17">
        <f t="shared" si="11"/>
        <v>80730</v>
      </c>
      <c r="I23" s="17">
        <f t="shared" si="11"/>
        <v>80730</v>
      </c>
      <c r="J23" s="17">
        <f t="shared" si="11"/>
        <v>107640</v>
      </c>
      <c r="K23" s="17">
        <f t="shared" si="11"/>
        <v>107640</v>
      </c>
      <c r="L23" s="17">
        <f t="shared" si="11"/>
        <v>0</v>
      </c>
      <c r="M23" s="17">
        <f t="shared" si="11"/>
        <v>0</v>
      </c>
      <c r="N23" s="17">
        <f t="shared" si="11"/>
        <v>0</v>
      </c>
      <c r="O23" s="17">
        <f t="shared" si="11"/>
        <v>0</v>
      </c>
      <c r="P23" s="17">
        <f t="shared" si="11"/>
        <v>0</v>
      </c>
      <c r="Q23" s="17">
        <f t="shared" si="11"/>
        <v>0</v>
      </c>
      <c r="R23" s="17">
        <f t="shared" si="11"/>
        <v>0</v>
      </c>
      <c r="S23" s="17">
        <f t="shared" si="11"/>
        <v>0</v>
      </c>
      <c r="T23" s="17">
        <f t="shared" si="11"/>
        <v>0</v>
      </c>
      <c r="U23" s="17">
        <f t="shared" si="11"/>
        <v>0</v>
      </c>
      <c r="V23" s="17">
        <f t="shared" si="11"/>
        <v>0</v>
      </c>
    </row>
    <row r="24" spans="1:22" ht="43.8" x14ac:dyDescent="0.35">
      <c r="A24" s="45" t="s">
        <v>98</v>
      </c>
      <c r="B24" s="12" t="s">
        <v>99</v>
      </c>
      <c r="C24" s="48">
        <f>C22+C23</f>
        <v>158700</v>
      </c>
      <c r="D24" s="48">
        <f>C24+D22+D23</f>
        <v>158700</v>
      </c>
      <c r="E24" s="48">
        <f>D24+E22+E23</f>
        <v>212520</v>
      </c>
      <c r="F24" s="17">
        <f>E24+F22+F23</f>
        <v>259440</v>
      </c>
      <c r="G24" s="17">
        <f>F24+G22+G23</f>
        <v>368600.3</v>
      </c>
      <c r="H24" s="17">
        <f>G24+H22+H23</f>
        <v>480451.6</v>
      </c>
      <c r="I24" s="17">
        <f>H24+I22+I23</f>
        <v>592302.89999999991</v>
      </c>
      <c r="J24" s="17">
        <f>I24+J22+J23</f>
        <v>750977.59999999986</v>
      </c>
      <c r="K24" s="17">
        <f t="shared" ref="K24:L24" si="12">J24+K22+K23</f>
        <v>909652.29999999981</v>
      </c>
      <c r="L24" s="17">
        <f t="shared" si="12"/>
        <v>960686.99999999977</v>
      </c>
      <c r="M24" s="17">
        <f t="shared" ref="M24" si="13">L24+M22+M23</f>
        <v>1031635.0999999997</v>
      </c>
      <c r="N24" s="17">
        <f t="shared" ref="N24" si="14">M24+N22+N23</f>
        <v>1102583.1999999997</v>
      </c>
      <c r="O24" s="17">
        <f t="shared" ref="O24" si="15">N24+O22+O23</f>
        <v>1395081.0999999996</v>
      </c>
      <c r="P24" s="17">
        <f t="shared" ref="P24" si="16">O24+P22+P23</f>
        <v>1741937.1999999997</v>
      </c>
      <c r="Q24" s="17">
        <f t="shared" ref="Q24" si="17">P24+Q22+Q23</f>
        <v>2134002.0999999996</v>
      </c>
      <c r="R24" s="17">
        <f t="shared" ref="R24" si="18">Q24+R22+R23</f>
        <v>2526066.9999999995</v>
      </c>
      <c r="S24" s="17">
        <f t="shared" ref="S24" si="19">R24+S22+S23</f>
        <v>2918131.8999999994</v>
      </c>
      <c r="T24" s="17">
        <f t="shared" ref="T24" si="20">S24+T22+T23</f>
        <v>3310196.7999999993</v>
      </c>
      <c r="U24" s="17">
        <f t="shared" ref="U24" si="21">T24+U22+U23</f>
        <v>3702261.6999999993</v>
      </c>
      <c r="V24" s="17">
        <f t="shared" ref="V24" si="22">U24+V22+V23</f>
        <v>4094326.5999999992</v>
      </c>
    </row>
    <row r="25" spans="1:22" ht="48.6" x14ac:dyDescent="0.3">
      <c r="A25" s="18" t="s">
        <v>100</v>
      </c>
      <c r="B25" s="12" t="s">
        <v>101</v>
      </c>
      <c r="C25" s="17" t="str">
        <f>D213</f>
        <v>NPV = 12824440</v>
      </c>
    </row>
    <row r="26" spans="1:22" ht="14.4" x14ac:dyDescent="0.3">
      <c r="A26" s="49" t="s">
        <v>102</v>
      </c>
      <c r="B26" s="12" t="s">
        <v>103</v>
      </c>
      <c r="C26" s="253">
        <f>B210</f>
        <v>6.3278132866185359</v>
      </c>
    </row>
    <row r="27" spans="1:22" ht="14.4" x14ac:dyDescent="0.3">
      <c r="A27" s="51" t="s">
        <v>104</v>
      </c>
      <c r="B27" s="12" t="s">
        <v>105</v>
      </c>
      <c r="C27" s="51" t="s">
        <v>357</v>
      </c>
      <c r="E27" t="s">
        <v>358</v>
      </c>
    </row>
    <row r="28" spans="1:22" ht="14.25" customHeight="1" x14ac:dyDescent="0.3">
      <c r="B28" s="1"/>
    </row>
    <row r="29" spans="1:22" ht="14.25" customHeight="1" x14ac:dyDescent="0.3">
      <c r="B29" s="1"/>
    </row>
    <row r="30" spans="1:22" ht="14.25" customHeight="1" x14ac:dyDescent="0.3">
      <c r="B30" s="1"/>
    </row>
    <row r="31" spans="1:22" ht="14.25" customHeight="1" thickBot="1" x14ac:dyDescent="0.3">
      <c r="A31" s="154" t="s">
        <v>246</v>
      </c>
      <c r="B31" s="154"/>
      <c r="C31" s="154"/>
      <c r="D31" s="154"/>
      <c r="E31" s="154"/>
      <c r="F31" s="154"/>
      <c r="G31" s="154"/>
    </row>
    <row r="32" spans="1:22" ht="14.25" customHeight="1" thickBot="1" x14ac:dyDescent="0.3">
      <c r="A32" s="248" t="s">
        <v>247</v>
      </c>
      <c r="B32" s="163" t="s">
        <v>156</v>
      </c>
      <c r="C32" s="164"/>
      <c r="D32" s="165"/>
      <c r="E32" s="163" t="s">
        <v>157</v>
      </c>
      <c r="F32" s="164"/>
      <c r="G32" s="165"/>
    </row>
    <row r="33" spans="1:7" ht="14.25" customHeight="1" thickBot="1" x14ac:dyDescent="0.3">
      <c r="A33" s="249"/>
      <c r="B33" s="97" t="s">
        <v>158</v>
      </c>
      <c r="C33" s="98" t="s">
        <v>159</v>
      </c>
      <c r="D33" s="98" t="s">
        <v>160</v>
      </c>
      <c r="E33" s="98" t="s">
        <v>158</v>
      </c>
      <c r="F33" s="98" t="s">
        <v>159</v>
      </c>
      <c r="G33" s="98" t="s">
        <v>160</v>
      </c>
    </row>
    <row r="34" spans="1:7" ht="14.25" customHeight="1" thickBot="1" x14ac:dyDescent="0.3">
      <c r="A34" s="99" t="s">
        <v>248</v>
      </c>
      <c r="B34" s="100">
        <v>0</v>
      </c>
      <c r="C34" s="101">
        <v>50</v>
      </c>
      <c r="D34" s="101">
        <v>70</v>
      </c>
      <c r="E34" s="101">
        <v>0</v>
      </c>
      <c r="F34" s="101">
        <f>C34*26*450</f>
        <v>585000</v>
      </c>
      <c r="G34" s="101">
        <f>D34*26*450</f>
        <v>819000</v>
      </c>
    </row>
    <row r="35" spans="1:7" ht="14.25" customHeight="1" thickBot="1" x14ac:dyDescent="0.3">
      <c r="A35" s="99" t="s">
        <v>249</v>
      </c>
      <c r="B35" s="100">
        <v>0</v>
      </c>
      <c r="C35" s="101">
        <v>50</v>
      </c>
      <c r="D35" s="101">
        <v>70</v>
      </c>
      <c r="E35" s="101">
        <v>0</v>
      </c>
      <c r="F35" s="101">
        <f t="shared" ref="F35:G45" si="23">C35*26*450</f>
        <v>585000</v>
      </c>
      <c r="G35" s="101">
        <f t="shared" si="23"/>
        <v>819000</v>
      </c>
    </row>
    <row r="36" spans="1:7" ht="14.25" customHeight="1" thickBot="1" x14ac:dyDescent="0.3">
      <c r="A36" s="99" t="s">
        <v>163</v>
      </c>
      <c r="B36" s="100">
        <v>0</v>
      </c>
      <c r="C36" s="101">
        <v>60</v>
      </c>
      <c r="D36" s="101">
        <v>70</v>
      </c>
      <c r="E36" s="101">
        <v>0</v>
      </c>
      <c r="F36" s="101">
        <f t="shared" si="23"/>
        <v>702000</v>
      </c>
      <c r="G36" s="101">
        <f t="shared" si="23"/>
        <v>819000</v>
      </c>
    </row>
    <row r="37" spans="1:7" ht="14.25" customHeight="1" thickBot="1" x14ac:dyDescent="0.3">
      <c r="A37" s="99" t="s">
        <v>250</v>
      </c>
      <c r="B37" s="100">
        <v>0</v>
      </c>
      <c r="C37" s="101">
        <v>60</v>
      </c>
      <c r="D37" s="101">
        <v>70</v>
      </c>
      <c r="E37" s="101">
        <v>0</v>
      </c>
      <c r="F37" s="101">
        <f t="shared" si="23"/>
        <v>702000</v>
      </c>
      <c r="G37" s="101">
        <f t="shared" si="23"/>
        <v>819000</v>
      </c>
    </row>
    <row r="38" spans="1:7" ht="14.25" customHeight="1" thickBot="1" x14ac:dyDescent="0.3">
      <c r="A38" s="99" t="s">
        <v>251</v>
      </c>
      <c r="B38" s="100">
        <v>15</v>
      </c>
      <c r="C38" s="101">
        <v>60</v>
      </c>
      <c r="D38" s="101">
        <v>70</v>
      </c>
      <c r="E38" s="101">
        <f>B38*26*450</f>
        <v>175500</v>
      </c>
      <c r="F38" s="101">
        <f t="shared" si="23"/>
        <v>702000</v>
      </c>
      <c r="G38" s="101">
        <f t="shared" si="23"/>
        <v>819000</v>
      </c>
    </row>
    <row r="39" spans="1:7" ht="14.25" customHeight="1" thickBot="1" x14ac:dyDescent="0.3">
      <c r="A39" s="99" t="s">
        <v>252</v>
      </c>
      <c r="B39" s="100">
        <v>20</v>
      </c>
      <c r="C39" s="101">
        <v>70</v>
      </c>
      <c r="D39" s="101">
        <v>70</v>
      </c>
      <c r="E39" s="101">
        <f t="shared" ref="E39:E45" si="24">B39*26*450</f>
        <v>234000</v>
      </c>
      <c r="F39" s="101">
        <f t="shared" si="23"/>
        <v>819000</v>
      </c>
      <c r="G39" s="101">
        <f t="shared" si="23"/>
        <v>819000</v>
      </c>
    </row>
    <row r="40" spans="1:7" ht="14.25" customHeight="1" thickBot="1" x14ac:dyDescent="0.3">
      <c r="A40" s="99" t="s">
        <v>253</v>
      </c>
      <c r="B40" s="100">
        <v>20</v>
      </c>
      <c r="C40" s="101">
        <v>70</v>
      </c>
      <c r="D40" s="101">
        <v>70</v>
      </c>
      <c r="E40" s="101">
        <f t="shared" si="24"/>
        <v>234000</v>
      </c>
      <c r="F40" s="101">
        <f t="shared" si="23"/>
        <v>819000</v>
      </c>
      <c r="G40" s="101">
        <f t="shared" si="23"/>
        <v>819000</v>
      </c>
    </row>
    <row r="41" spans="1:7" ht="14.25" customHeight="1" thickBot="1" x14ac:dyDescent="0.3">
      <c r="A41" s="99" t="s">
        <v>254</v>
      </c>
      <c r="B41" s="100">
        <v>30</v>
      </c>
      <c r="C41" s="101">
        <v>70</v>
      </c>
      <c r="D41" s="101">
        <v>70</v>
      </c>
      <c r="E41" s="101">
        <f t="shared" si="24"/>
        <v>351000</v>
      </c>
      <c r="F41" s="101">
        <f t="shared" si="23"/>
        <v>819000</v>
      </c>
      <c r="G41" s="101">
        <f t="shared" si="23"/>
        <v>819000</v>
      </c>
    </row>
    <row r="42" spans="1:7" ht="14.25" customHeight="1" thickBot="1" x14ac:dyDescent="0.3">
      <c r="A42" s="99" t="s">
        <v>255</v>
      </c>
      <c r="B42" s="100">
        <v>30</v>
      </c>
      <c r="C42" s="101">
        <v>70</v>
      </c>
      <c r="D42" s="101">
        <v>70</v>
      </c>
      <c r="E42" s="101">
        <f t="shared" si="24"/>
        <v>351000</v>
      </c>
      <c r="F42" s="101">
        <f t="shared" si="23"/>
        <v>819000</v>
      </c>
      <c r="G42" s="101">
        <f t="shared" si="23"/>
        <v>819000</v>
      </c>
    </row>
    <row r="43" spans="1:7" ht="14.25" customHeight="1" thickBot="1" x14ac:dyDescent="0.3">
      <c r="A43" s="99" t="s">
        <v>256</v>
      </c>
      <c r="B43" s="100">
        <v>30</v>
      </c>
      <c r="C43" s="101">
        <v>70</v>
      </c>
      <c r="D43" s="101">
        <v>70</v>
      </c>
      <c r="E43" s="101">
        <f t="shared" si="24"/>
        <v>351000</v>
      </c>
      <c r="F43" s="101">
        <f t="shared" si="23"/>
        <v>819000</v>
      </c>
      <c r="G43" s="101">
        <f t="shared" si="23"/>
        <v>819000</v>
      </c>
    </row>
    <row r="44" spans="1:7" ht="14.25" customHeight="1" thickBot="1" x14ac:dyDescent="0.3">
      <c r="A44" s="99" t="s">
        <v>257</v>
      </c>
      <c r="B44" s="100">
        <v>40</v>
      </c>
      <c r="C44" s="101">
        <v>70</v>
      </c>
      <c r="D44" s="101">
        <v>70</v>
      </c>
      <c r="E44" s="101">
        <f t="shared" si="24"/>
        <v>468000</v>
      </c>
      <c r="F44" s="101">
        <f t="shared" si="23"/>
        <v>819000</v>
      </c>
      <c r="G44" s="101">
        <f t="shared" si="23"/>
        <v>819000</v>
      </c>
    </row>
    <row r="45" spans="1:7" ht="14.25" customHeight="1" thickBot="1" x14ac:dyDescent="0.3">
      <c r="A45" s="99" t="s">
        <v>258</v>
      </c>
      <c r="B45" s="100">
        <v>40</v>
      </c>
      <c r="C45" s="101">
        <v>70</v>
      </c>
      <c r="D45" s="101">
        <v>70</v>
      </c>
      <c r="E45" s="101">
        <f t="shared" si="24"/>
        <v>468000</v>
      </c>
      <c r="F45" s="101">
        <f t="shared" si="23"/>
        <v>819000</v>
      </c>
      <c r="G45" s="101">
        <f t="shared" si="23"/>
        <v>819000</v>
      </c>
    </row>
    <row r="46" spans="1:7" ht="14.25" customHeight="1" thickBot="1" x14ac:dyDescent="0.3">
      <c r="A46" s="99" t="s">
        <v>259</v>
      </c>
      <c r="B46" s="100" t="s">
        <v>108</v>
      </c>
      <c r="C46" s="101" t="s">
        <v>108</v>
      </c>
      <c r="D46" s="101" t="s">
        <v>108</v>
      </c>
      <c r="E46" s="101">
        <f>SUM(E34:E45)</f>
        <v>2632500</v>
      </c>
      <c r="F46" s="101">
        <f t="shared" ref="F46:G46" si="25">SUM(F34:F45)</f>
        <v>9009000</v>
      </c>
      <c r="G46" s="101">
        <f t="shared" si="25"/>
        <v>9828000</v>
      </c>
    </row>
    <row r="47" spans="1:7" ht="14.25" customHeight="1" x14ac:dyDescent="0.3">
      <c r="B47" s="1"/>
    </row>
    <row r="48" spans="1:7" ht="14.25" customHeight="1" thickBot="1" x14ac:dyDescent="0.3">
      <c r="A48" s="102" t="s">
        <v>260</v>
      </c>
    </row>
    <row r="49" spans="1:13" ht="14.25" customHeight="1" thickBot="1" x14ac:dyDescent="0.3">
      <c r="A49" s="103" t="s">
        <v>155</v>
      </c>
      <c r="B49" s="63" t="s">
        <v>261</v>
      </c>
      <c r="C49" s="63" t="s">
        <v>262</v>
      </c>
      <c r="D49" s="63" t="s">
        <v>263</v>
      </c>
      <c r="E49" s="63" t="s">
        <v>264</v>
      </c>
      <c r="F49" s="63" t="s">
        <v>251</v>
      </c>
      <c r="G49" s="63" t="s">
        <v>265</v>
      </c>
      <c r="H49" s="63" t="s">
        <v>266</v>
      </c>
      <c r="I49" s="63" t="s">
        <v>267</v>
      </c>
      <c r="J49" s="63" t="s">
        <v>268</v>
      </c>
      <c r="K49" s="63" t="s">
        <v>269</v>
      </c>
      <c r="L49" s="63" t="s">
        <v>270</v>
      </c>
      <c r="M49" s="63" t="s">
        <v>271</v>
      </c>
    </row>
    <row r="50" spans="1:13" ht="14.25" customHeight="1" thickBot="1" x14ac:dyDescent="0.3">
      <c r="A50" s="104" t="s">
        <v>272</v>
      </c>
      <c r="B50" s="105">
        <v>0</v>
      </c>
      <c r="C50" s="105">
        <v>0</v>
      </c>
      <c r="D50" s="105">
        <v>0</v>
      </c>
      <c r="E50" s="105">
        <v>0</v>
      </c>
      <c r="F50" s="105">
        <v>3.51</v>
      </c>
      <c r="G50" s="105">
        <v>46.8</v>
      </c>
      <c r="H50" s="105">
        <v>46.8</v>
      </c>
      <c r="I50" s="105">
        <v>70.2</v>
      </c>
      <c r="J50" s="105">
        <v>70.2</v>
      </c>
      <c r="K50" s="105">
        <v>70.2</v>
      </c>
      <c r="L50" s="105">
        <v>93.6</v>
      </c>
      <c r="M50" s="105">
        <v>93.6</v>
      </c>
    </row>
    <row r="51" spans="1:13" ht="14.25" customHeight="1" thickBot="1" x14ac:dyDescent="0.3">
      <c r="A51" s="104" t="s">
        <v>273</v>
      </c>
      <c r="B51" s="105">
        <v>117</v>
      </c>
      <c r="C51" s="105">
        <v>117</v>
      </c>
      <c r="D51" s="105">
        <v>140.4</v>
      </c>
      <c r="E51" s="105">
        <v>140.4</v>
      </c>
      <c r="F51" s="105">
        <v>140.4</v>
      </c>
      <c r="G51" s="105">
        <v>163.80000000000001</v>
      </c>
      <c r="H51" s="105">
        <v>163.80000000000001</v>
      </c>
      <c r="I51" s="105">
        <v>163.80000000000001</v>
      </c>
      <c r="J51" s="105">
        <v>163.80000000000001</v>
      </c>
      <c r="K51" s="105">
        <v>163.80000000000001</v>
      </c>
      <c r="L51" s="105">
        <v>163.80000000000001</v>
      </c>
      <c r="M51" s="105">
        <v>163.80000000000001</v>
      </c>
    </row>
    <row r="52" spans="1:13" ht="14.25" customHeight="1" thickBot="1" x14ac:dyDescent="0.3">
      <c r="A52" s="104" t="s">
        <v>274</v>
      </c>
      <c r="B52" s="105">
        <v>163.80000000000001</v>
      </c>
      <c r="C52" s="105">
        <v>163.80000000000001</v>
      </c>
      <c r="D52" s="105">
        <v>163.80000000000001</v>
      </c>
      <c r="E52" s="105">
        <v>163.80000000000001</v>
      </c>
      <c r="F52" s="105">
        <v>163.80000000000001</v>
      </c>
      <c r="G52" s="105">
        <v>163.80000000000001</v>
      </c>
      <c r="H52" s="105">
        <v>163.80000000000001</v>
      </c>
      <c r="I52" s="105">
        <v>163.80000000000001</v>
      </c>
      <c r="J52" s="105">
        <v>163.80000000000001</v>
      </c>
      <c r="K52" s="105">
        <v>163.80000000000001</v>
      </c>
      <c r="L52" s="105">
        <v>163.80000000000001</v>
      </c>
      <c r="M52" s="105">
        <v>163.80000000000001</v>
      </c>
    </row>
    <row r="53" spans="1:13" ht="14.25" customHeight="1" thickBot="1" x14ac:dyDescent="0.35">
      <c r="B53" s="1"/>
    </row>
    <row r="54" spans="1:13" ht="14.25" customHeight="1" thickBot="1" x14ac:dyDescent="0.3">
      <c r="A54" s="106" t="s">
        <v>155</v>
      </c>
      <c r="B54" s="107" t="s">
        <v>275</v>
      </c>
      <c r="C54" s="107" t="s">
        <v>262</v>
      </c>
      <c r="D54" s="107" t="s">
        <v>263</v>
      </c>
      <c r="E54" s="107" t="s">
        <v>264</v>
      </c>
      <c r="F54" s="107" t="s">
        <v>251</v>
      </c>
      <c r="G54" s="107" t="s">
        <v>276</v>
      </c>
      <c r="H54" s="107" t="s">
        <v>277</v>
      </c>
      <c r="I54" s="107" t="s">
        <v>278</v>
      </c>
      <c r="J54" s="107" t="s">
        <v>279</v>
      </c>
      <c r="K54" s="107" t="s">
        <v>280</v>
      </c>
      <c r="L54" s="107" t="s">
        <v>270</v>
      </c>
      <c r="M54" s="107" t="s">
        <v>281</v>
      </c>
    </row>
    <row r="55" spans="1:13" ht="14.25" customHeight="1" thickBot="1" x14ac:dyDescent="0.3">
      <c r="A55" s="108" t="s">
        <v>282</v>
      </c>
      <c r="B55" s="105">
        <v>0</v>
      </c>
      <c r="C55" s="105">
        <v>0</v>
      </c>
      <c r="D55" s="105">
        <v>0</v>
      </c>
      <c r="E55" s="105">
        <v>30</v>
      </c>
      <c r="F55" s="105">
        <v>30</v>
      </c>
      <c r="G55" s="105">
        <v>30</v>
      </c>
      <c r="H55" s="105">
        <v>30</v>
      </c>
      <c r="I55" s="105">
        <v>30</v>
      </c>
      <c r="J55" s="105">
        <v>30</v>
      </c>
      <c r="K55" s="105">
        <v>30</v>
      </c>
      <c r="L55" s="105">
        <v>30</v>
      </c>
      <c r="M55" s="105">
        <v>30</v>
      </c>
    </row>
    <row r="56" spans="1:13" ht="14.25" customHeight="1" thickBot="1" x14ac:dyDescent="0.3">
      <c r="A56" s="108" t="s">
        <v>283</v>
      </c>
      <c r="B56" s="105">
        <v>0</v>
      </c>
      <c r="C56" s="105">
        <v>0</v>
      </c>
      <c r="D56" s="105">
        <v>0</v>
      </c>
      <c r="E56" s="105">
        <v>0</v>
      </c>
      <c r="F56" s="105">
        <v>1.6</v>
      </c>
      <c r="G56" s="105">
        <v>1.6</v>
      </c>
      <c r="H56" s="105">
        <v>1.6</v>
      </c>
      <c r="I56" s="105">
        <v>1.6</v>
      </c>
      <c r="J56" s="105">
        <v>1.6</v>
      </c>
      <c r="K56" s="105">
        <v>1.6</v>
      </c>
      <c r="L56" s="105">
        <v>1.6</v>
      </c>
      <c r="M56" s="105">
        <v>1.6</v>
      </c>
    </row>
    <row r="57" spans="1:13" ht="14.25" customHeight="1" thickBot="1" x14ac:dyDescent="0.3">
      <c r="A57" s="108" t="s">
        <v>284</v>
      </c>
      <c r="B57" s="105">
        <v>0</v>
      </c>
      <c r="C57" s="105">
        <v>0</v>
      </c>
      <c r="D57" s="105">
        <v>0</v>
      </c>
      <c r="E57" s="105">
        <v>0</v>
      </c>
      <c r="F57" s="105">
        <v>5</v>
      </c>
      <c r="G57" s="105">
        <v>5</v>
      </c>
      <c r="H57" s="105">
        <v>5</v>
      </c>
      <c r="I57" s="105">
        <v>5</v>
      </c>
      <c r="J57" s="105">
        <v>5</v>
      </c>
      <c r="K57" s="105">
        <v>5</v>
      </c>
      <c r="L57" s="105">
        <v>5</v>
      </c>
      <c r="M57" s="105">
        <v>5</v>
      </c>
    </row>
    <row r="58" spans="1:13" ht="14.25" customHeight="1" thickBot="1" x14ac:dyDescent="0.3">
      <c r="A58" s="108" t="s">
        <v>285</v>
      </c>
      <c r="B58" s="105">
        <v>0</v>
      </c>
      <c r="C58" s="105">
        <v>0</v>
      </c>
      <c r="D58" s="105">
        <v>0</v>
      </c>
      <c r="E58" s="105">
        <v>0</v>
      </c>
      <c r="F58" s="105">
        <v>1</v>
      </c>
      <c r="G58" s="105">
        <v>1</v>
      </c>
      <c r="H58" s="105">
        <v>1</v>
      </c>
      <c r="I58" s="105">
        <v>1</v>
      </c>
      <c r="J58" s="105">
        <v>1</v>
      </c>
      <c r="K58" s="105">
        <v>1</v>
      </c>
      <c r="L58" s="105">
        <v>1</v>
      </c>
      <c r="M58" s="105">
        <v>1</v>
      </c>
    </row>
    <row r="59" spans="1:13" ht="14.25" customHeight="1" thickBot="1" x14ac:dyDescent="0.3">
      <c r="A59" s="108" t="s">
        <v>286</v>
      </c>
      <c r="B59" s="105">
        <v>0</v>
      </c>
      <c r="C59" s="105">
        <v>0</v>
      </c>
      <c r="D59" s="105">
        <v>0</v>
      </c>
      <c r="E59" s="105">
        <v>0</v>
      </c>
      <c r="F59" s="105">
        <v>0.25</v>
      </c>
      <c r="G59" s="105">
        <v>0.25</v>
      </c>
      <c r="H59" s="105">
        <v>0.25</v>
      </c>
      <c r="I59" s="105">
        <v>0.25</v>
      </c>
      <c r="J59" s="105">
        <v>0.25</v>
      </c>
      <c r="K59" s="105">
        <v>0.25</v>
      </c>
      <c r="L59" s="105">
        <v>0.25</v>
      </c>
      <c r="M59" s="105">
        <v>0.25</v>
      </c>
    </row>
    <row r="60" spans="1:13" ht="14.25" customHeight="1" thickBot="1" x14ac:dyDescent="0.3">
      <c r="A60" s="108" t="s">
        <v>287</v>
      </c>
      <c r="B60" s="105">
        <v>0</v>
      </c>
      <c r="C60" s="105">
        <v>0</v>
      </c>
      <c r="D60" s="105">
        <v>0</v>
      </c>
      <c r="E60" s="105">
        <v>30</v>
      </c>
      <c r="F60" s="105">
        <v>37.85</v>
      </c>
      <c r="G60" s="105">
        <v>37.85</v>
      </c>
      <c r="H60" s="105">
        <v>37.85</v>
      </c>
      <c r="I60" s="105">
        <v>37.85</v>
      </c>
      <c r="J60" s="105">
        <v>37.85</v>
      </c>
      <c r="K60" s="105">
        <v>37.85</v>
      </c>
      <c r="L60" s="105">
        <v>37.85</v>
      </c>
      <c r="M60" s="105">
        <v>37.85</v>
      </c>
    </row>
    <row r="61" spans="1:13" ht="14.25" customHeight="1" x14ac:dyDescent="0.3">
      <c r="B61" s="1"/>
    </row>
    <row r="62" spans="1:13" ht="14.25" customHeight="1" x14ac:dyDescent="0.3">
      <c r="B62" s="1"/>
    </row>
    <row r="63" spans="1:13" ht="14.25" customHeight="1" x14ac:dyDescent="0.3">
      <c r="B63" s="1"/>
    </row>
    <row r="64" spans="1:13" ht="14.25" customHeight="1" thickBot="1" x14ac:dyDescent="0.3">
      <c r="A64" s="154" t="s">
        <v>288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89"/>
      <c r="M64" s="89"/>
    </row>
    <row r="65" spans="1:13" ht="14.25" customHeight="1" thickBot="1" x14ac:dyDescent="0.3">
      <c r="A65" s="67" t="s">
        <v>289</v>
      </c>
      <c r="B65" s="92" t="s">
        <v>263</v>
      </c>
      <c r="C65" s="92" t="s">
        <v>264</v>
      </c>
      <c r="D65" s="92" t="s">
        <v>251</v>
      </c>
      <c r="E65" s="92" t="s">
        <v>265</v>
      </c>
      <c r="F65" s="92" t="s">
        <v>266</v>
      </c>
      <c r="G65" s="92" t="s">
        <v>267</v>
      </c>
      <c r="H65" s="92" t="s">
        <v>268</v>
      </c>
      <c r="I65" s="92" t="s">
        <v>269</v>
      </c>
      <c r="J65" s="92" t="s">
        <v>270</v>
      </c>
      <c r="K65" s="92" t="s">
        <v>271</v>
      </c>
      <c r="L65" s="89"/>
      <c r="M65" s="89"/>
    </row>
    <row r="66" spans="1:13" ht="14.25" customHeight="1" thickBot="1" x14ac:dyDescent="0.3">
      <c r="A66" s="109" t="s">
        <v>290</v>
      </c>
      <c r="B66" s="110"/>
      <c r="C66" s="110">
        <f>690000</f>
        <v>690000</v>
      </c>
      <c r="D66" s="110"/>
      <c r="E66" s="110">
        <f t="shared" ref="E66:K66" si="26">E67+E68+E69</f>
        <v>234000</v>
      </c>
      <c r="F66" s="110">
        <f t="shared" si="26"/>
        <v>234000</v>
      </c>
      <c r="G66" s="110">
        <f t="shared" si="26"/>
        <v>351000</v>
      </c>
      <c r="H66" s="110">
        <f t="shared" si="26"/>
        <v>351000</v>
      </c>
      <c r="I66" s="110">
        <f t="shared" si="26"/>
        <v>351000</v>
      </c>
      <c r="J66" s="110">
        <f t="shared" si="26"/>
        <v>468000</v>
      </c>
      <c r="K66" s="110">
        <f t="shared" si="26"/>
        <v>468000</v>
      </c>
      <c r="L66" s="89"/>
      <c r="M66" s="89"/>
    </row>
    <row r="67" spans="1:13" ht="14.25" customHeight="1" thickBot="1" x14ac:dyDescent="0.3">
      <c r="A67" s="69" t="s">
        <v>291</v>
      </c>
      <c r="B67" s="95"/>
      <c r="C67" s="95">
        <v>138000</v>
      </c>
      <c r="D67" s="95"/>
      <c r="E67" s="95"/>
      <c r="F67" s="95"/>
      <c r="G67" s="95"/>
      <c r="H67" s="95"/>
      <c r="I67" s="95"/>
      <c r="J67" s="95"/>
      <c r="K67" s="95"/>
      <c r="L67" s="89"/>
      <c r="M67" s="89"/>
    </row>
    <row r="68" spans="1:13" ht="14.25" customHeight="1" thickBot="1" x14ac:dyDescent="0.3">
      <c r="A68" s="69" t="s">
        <v>292</v>
      </c>
      <c r="B68" s="95"/>
      <c r="C68" s="95">
        <v>552000</v>
      </c>
      <c r="D68" s="95"/>
      <c r="E68" s="95"/>
      <c r="F68" s="95"/>
      <c r="G68" s="95"/>
      <c r="H68" s="95"/>
      <c r="I68" s="95"/>
      <c r="J68" s="95"/>
      <c r="K68" s="95"/>
      <c r="L68" s="89"/>
      <c r="M68" s="89"/>
    </row>
    <row r="69" spans="1:13" ht="14.25" customHeight="1" thickBot="1" x14ac:dyDescent="0.3">
      <c r="A69" s="69" t="s">
        <v>293</v>
      </c>
      <c r="B69" s="95"/>
      <c r="C69" s="95">
        <v>0</v>
      </c>
      <c r="D69" s="95">
        <f>E38</f>
        <v>175500</v>
      </c>
      <c r="E69" s="95">
        <f>E39</f>
        <v>234000</v>
      </c>
      <c r="F69" s="95">
        <f>E40</f>
        <v>234000</v>
      </c>
      <c r="G69" s="95">
        <f>E41</f>
        <v>351000</v>
      </c>
      <c r="H69" s="95">
        <f>E42</f>
        <v>351000</v>
      </c>
      <c r="I69" s="95">
        <f>E42</f>
        <v>351000</v>
      </c>
      <c r="J69" s="95">
        <f>E44</f>
        <v>468000</v>
      </c>
      <c r="K69" s="95">
        <f>E45</f>
        <v>468000</v>
      </c>
      <c r="L69" s="89"/>
      <c r="M69" s="89"/>
    </row>
    <row r="70" spans="1:13" ht="14.25" customHeight="1" thickBot="1" x14ac:dyDescent="0.3">
      <c r="A70" s="109" t="s">
        <v>294</v>
      </c>
      <c r="B70" s="110"/>
      <c r="C70" s="110">
        <f>C71+C72+C73+C74+C75+C76+C77+C78</f>
        <v>591173.5</v>
      </c>
      <c r="D70" s="110">
        <f>D71+D72+D73+D74+D75+D76+D77+D78</f>
        <v>124791.5</v>
      </c>
      <c r="E70" s="110">
        <f t="shared" ref="E70:K70" si="27">E71+E72+E73+E74+E75+E76+E77+E78</f>
        <v>128301.5</v>
      </c>
      <c r="F70" s="110">
        <f t="shared" si="27"/>
        <v>128301.5</v>
      </c>
      <c r="G70" s="110">
        <f t="shared" si="27"/>
        <v>135321.5</v>
      </c>
      <c r="H70" s="110">
        <f t="shared" si="27"/>
        <v>135321.5</v>
      </c>
      <c r="I70" s="110">
        <f t="shared" si="27"/>
        <v>135321.5</v>
      </c>
      <c r="J70" s="110">
        <f t="shared" si="27"/>
        <v>142341.5</v>
      </c>
      <c r="K70" s="110">
        <f t="shared" si="27"/>
        <v>142341.5</v>
      </c>
      <c r="L70" s="89"/>
      <c r="M70" s="89"/>
    </row>
    <row r="71" spans="1:13" ht="14.25" customHeight="1" thickBot="1" x14ac:dyDescent="0.3">
      <c r="A71" s="69" t="s">
        <v>295</v>
      </c>
      <c r="B71" s="95"/>
      <c r="C71" s="95">
        <v>339700</v>
      </c>
      <c r="D71" s="95"/>
      <c r="E71" s="95"/>
      <c r="F71" s="95"/>
      <c r="G71" s="95"/>
      <c r="H71" s="95"/>
      <c r="I71" s="95"/>
      <c r="J71" s="95"/>
      <c r="K71" s="95"/>
      <c r="L71" s="89"/>
      <c r="M71" s="89"/>
    </row>
    <row r="72" spans="1:13" ht="14.25" customHeight="1" thickBot="1" x14ac:dyDescent="0.3">
      <c r="A72" s="69" t="s">
        <v>296</v>
      </c>
      <c r="B72" s="95"/>
      <c r="C72" s="111">
        <v>210000</v>
      </c>
      <c r="D72" s="111"/>
      <c r="E72" s="111"/>
      <c r="F72" s="111"/>
      <c r="G72" s="111"/>
      <c r="H72" s="111"/>
      <c r="I72" s="111"/>
      <c r="J72" s="111"/>
      <c r="K72" s="111"/>
      <c r="L72" s="89"/>
      <c r="M72" s="89"/>
    </row>
    <row r="73" spans="1:13" ht="14.25" customHeight="1" thickBot="1" x14ac:dyDescent="0.35">
      <c r="A73" s="69" t="s">
        <v>297</v>
      </c>
      <c r="B73" s="112"/>
      <c r="C73" s="113">
        <v>35811.800000000003</v>
      </c>
      <c r="D73" s="113">
        <v>87546.8</v>
      </c>
      <c r="E73" s="113">
        <v>87546.8</v>
      </c>
      <c r="F73" s="113">
        <v>87546.8</v>
      </c>
      <c r="G73" s="113">
        <v>87546.8</v>
      </c>
      <c r="H73" s="113">
        <v>87546.8</v>
      </c>
      <c r="I73" s="113">
        <v>87546.8</v>
      </c>
      <c r="J73" s="113">
        <v>87546.8</v>
      </c>
      <c r="K73" s="113">
        <v>87546.8</v>
      </c>
      <c r="L73" s="89"/>
      <c r="M73" s="89"/>
    </row>
    <row r="74" spans="1:13" ht="14.25" customHeight="1" thickBot="1" x14ac:dyDescent="0.3">
      <c r="A74" s="69" t="s">
        <v>298</v>
      </c>
      <c r="B74" s="95"/>
      <c r="C74" s="95">
        <f>'[1]Лист3 Доходы и расходы'!E71*1000</f>
        <v>0</v>
      </c>
      <c r="D74" s="95">
        <f>'[1]Лист3 Доходы и расходы'!F71*1000</f>
        <v>0</v>
      </c>
      <c r="E74" s="95">
        <f>'[1]Лист3 Доходы и расходы'!G71*1000</f>
        <v>0</v>
      </c>
      <c r="F74" s="95">
        <f>'[1]Лист3 Доходы и расходы'!H71*1000</f>
        <v>0</v>
      </c>
      <c r="G74" s="95">
        <f>'[1]Лист3 Доходы и расходы'!I71*1000</f>
        <v>0</v>
      </c>
      <c r="H74" s="95">
        <f>'[1]Лист3 Доходы и расходы'!J71*1000</f>
        <v>0</v>
      </c>
      <c r="I74" s="95">
        <f>'[1]Лист3 Доходы и расходы'!K71*1000</f>
        <v>0</v>
      </c>
      <c r="J74" s="95">
        <f>'[1]Лист3 Доходы и расходы'!L71*1000</f>
        <v>0</v>
      </c>
      <c r="K74" s="95">
        <f>'[1]Лист3 Доходы и расходы'!M71*1000</f>
        <v>0</v>
      </c>
      <c r="L74" s="89"/>
      <c r="M74" s="89"/>
    </row>
    <row r="75" spans="1:13" ht="14.25" customHeight="1" thickBot="1" x14ac:dyDescent="0.3">
      <c r="A75" s="69" t="s">
        <v>299</v>
      </c>
      <c r="B75" s="95"/>
      <c r="C75" s="95">
        <v>0</v>
      </c>
      <c r="D75" s="95">
        <f>'[1]Лист3 Доходы и расходы'!F89*1000</f>
        <v>0</v>
      </c>
      <c r="E75" s="95">
        <f>'[1]Лист3 Доходы и расходы'!G89*1000</f>
        <v>0</v>
      </c>
      <c r="F75" s="95">
        <f>'[1]Лист3 Доходы и расходы'!H89*1000</f>
        <v>0</v>
      </c>
      <c r="G75" s="95">
        <f>'[1]Лист3 Доходы и расходы'!I89*1000</f>
        <v>0</v>
      </c>
      <c r="H75" s="95">
        <f>'[1]Лист3 Доходы и расходы'!J89*1000</f>
        <v>0</v>
      </c>
      <c r="I75" s="95">
        <f>'[1]Лист3 Доходы и расходы'!K89*1000</f>
        <v>0</v>
      </c>
      <c r="J75" s="95">
        <f>'[1]Лист3 Доходы и расходы'!L89*1000</f>
        <v>0</v>
      </c>
      <c r="K75" s="95">
        <f>'[1]Лист3 Доходы и расходы'!M89*1000</f>
        <v>0</v>
      </c>
      <c r="L75" s="89"/>
      <c r="M75" s="89"/>
    </row>
    <row r="76" spans="1:13" ht="14.25" customHeight="1" thickBot="1" x14ac:dyDescent="0.3">
      <c r="A76" s="69" t="s">
        <v>300</v>
      </c>
      <c r="B76" s="95"/>
      <c r="C76" s="95">
        <v>5661.7</v>
      </c>
      <c r="D76" s="95">
        <v>5661.7</v>
      </c>
      <c r="E76" s="95">
        <v>5661.7</v>
      </c>
      <c r="F76" s="95">
        <v>5661.7</v>
      </c>
      <c r="G76" s="95">
        <v>5661.7</v>
      </c>
      <c r="H76" s="95">
        <v>5661.7</v>
      </c>
      <c r="I76" s="95">
        <v>5661.7</v>
      </c>
      <c r="J76" s="95">
        <v>5661.7</v>
      </c>
      <c r="K76" s="95">
        <v>5661.7</v>
      </c>
      <c r="L76" s="89"/>
      <c r="M76" s="89"/>
    </row>
    <row r="77" spans="1:13" ht="14.25" customHeight="1" thickBot="1" x14ac:dyDescent="0.3">
      <c r="A77" s="69" t="s">
        <v>301</v>
      </c>
      <c r="B77" s="95"/>
      <c r="C77" s="95">
        <v>0</v>
      </c>
      <c r="D77" s="95">
        <f>D69*6/100</f>
        <v>10530</v>
      </c>
      <c r="E77" s="95">
        <f>E69*6/100</f>
        <v>14040</v>
      </c>
      <c r="F77" s="95">
        <f t="shared" ref="F77:K77" si="28">F69*6/100</f>
        <v>14040</v>
      </c>
      <c r="G77" s="95">
        <f t="shared" si="28"/>
        <v>21060</v>
      </c>
      <c r="H77" s="95">
        <f t="shared" si="28"/>
        <v>21060</v>
      </c>
      <c r="I77" s="95">
        <f t="shared" si="28"/>
        <v>21060</v>
      </c>
      <c r="J77" s="95">
        <f t="shared" si="28"/>
        <v>28080</v>
      </c>
      <c r="K77" s="95">
        <f t="shared" si="28"/>
        <v>28080</v>
      </c>
      <c r="L77" s="89"/>
      <c r="M77" s="89"/>
    </row>
    <row r="78" spans="1:13" ht="14.25" customHeight="1" thickBot="1" x14ac:dyDescent="0.3">
      <c r="A78" s="69" t="s">
        <v>302</v>
      </c>
      <c r="B78" s="95"/>
      <c r="C78" s="114">
        <v>0</v>
      </c>
      <c r="D78" s="114">
        <v>21053</v>
      </c>
      <c r="E78" s="114">
        <v>21053</v>
      </c>
      <c r="F78" s="114">
        <v>21053</v>
      </c>
      <c r="G78" s="114">
        <v>21053</v>
      </c>
      <c r="H78" s="114">
        <v>21053</v>
      </c>
      <c r="I78" s="114">
        <v>21053</v>
      </c>
      <c r="J78" s="114">
        <v>21053</v>
      </c>
      <c r="K78" s="114">
        <v>21053</v>
      </c>
      <c r="L78" s="89"/>
      <c r="M78" s="89"/>
    </row>
    <row r="79" spans="1:13" ht="14.25" customHeight="1" thickBot="1" x14ac:dyDescent="0.3">
      <c r="A79" s="109" t="s">
        <v>303</v>
      </c>
      <c r="B79" s="255"/>
      <c r="C79" s="255">
        <f>C66-C70</f>
        <v>98826.5</v>
      </c>
      <c r="D79" s="255">
        <f>C79+D66-D70</f>
        <v>-25965</v>
      </c>
      <c r="E79" s="255">
        <f t="shared" ref="E79:K79" si="29">D79+E66-E70</f>
        <v>79733.5</v>
      </c>
      <c r="F79" s="255">
        <f t="shared" si="29"/>
        <v>185432</v>
      </c>
      <c r="G79" s="255">
        <f t="shared" si="29"/>
        <v>401110.5</v>
      </c>
      <c r="H79" s="255">
        <f t="shared" si="29"/>
        <v>616789</v>
      </c>
      <c r="I79" s="255">
        <f t="shared" si="29"/>
        <v>832467.5</v>
      </c>
      <c r="J79" s="255">
        <f t="shared" si="29"/>
        <v>1158126</v>
      </c>
      <c r="K79" s="256">
        <f t="shared" si="29"/>
        <v>1483784.5</v>
      </c>
      <c r="L79" s="89"/>
      <c r="M79" s="89"/>
    </row>
    <row r="80" spans="1:13" ht="14.25" customHeight="1" x14ac:dyDescent="0.25">
      <c r="A80" s="254" t="s">
        <v>74</v>
      </c>
      <c r="B80" s="243">
        <f>B66-B71-B72-B73-B74-B75</f>
        <v>0</v>
      </c>
      <c r="C80" s="243">
        <f t="shared" ref="C80:K80" si="30">C66-C71-C72-C73-C74-C75</f>
        <v>104488.2</v>
      </c>
      <c r="D80" s="243">
        <f t="shared" si="30"/>
        <v>-87546.8</v>
      </c>
      <c r="E80" s="243">
        <f t="shared" si="30"/>
        <v>146453.20000000001</v>
      </c>
      <c r="F80" s="243">
        <f t="shared" si="30"/>
        <v>146453.20000000001</v>
      </c>
      <c r="G80" s="243">
        <f t="shared" si="30"/>
        <v>263453.2</v>
      </c>
      <c r="H80" s="243">
        <f t="shared" si="30"/>
        <v>263453.2</v>
      </c>
      <c r="I80" s="243">
        <f t="shared" si="30"/>
        <v>263453.2</v>
      </c>
      <c r="J80" s="243">
        <f t="shared" si="30"/>
        <v>380453.2</v>
      </c>
      <c r="K80" s="243">
        <f t="shared" si="30"/>
        <v>380453.2</v>
      </c>
      <c r="L80" s="89"/>
      <c r="M80" s="89"/>
    </row>
    <row r="81" spans="1:13" ht="14.25" customHeight="1" x14ac:dyDescent="0.2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</row>
    <row r="82" spans="1:13" ht="14.25" customHeight="1" x14ac:dyDescent="0.2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</row>
    <row r="83" spans="1:13" ht="14.25" customHeight="1" x14ac:dyDescent="0.2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</row>
    <row r="84" spans="1:13" ht="14.25" customHeight="1" thickBot="1" x14ac:dyDescent="0.3">
      <c r="A84" s="154" t="s">
        <v>304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</row>
    <row r="85" spans="1:13" ht="14.25" customHeight="1" thickBot="1" x14ac:dyDescent="0.3">
      <c r="A85" s="67" t="s">
        <v>289</v>
      </c>
      <c r="B85" s="92" t="s">
        <v>261</v>
      </c>
      <c r="C85" s="92" t="s">
        <v>262</v>
      </c>
      <c r="D85" s="92" t="s">
        <v>263</v>
      </c>
      <c r="E85" s="92" t="s">
        <v>264</v>
      </c>
      <c r="F85" s="92" t="s">
        <v>251</v>
      </c>
      <c r="G85" s="92" t="s">
        <v>265</v>
      </c>
      <c r="H85" s="92" t="s">
        <v>266</v>
      </c>
      <c r="I85" s="92" t="s">
        <v>267</v>
      </c>
      <c r="J85" s="92" t="s">
        <v>268</v>
      </c>
      <c r="K85" s="92" t="s">
        <v>269</v>
      </c>
      <c r="L85" s="92" t="s">
        <v>270</v>
      </c>
      <c r="M85" s="92" t="s">
        <v>271</v>
      </c>
    </row>
    <row r="86" spans="1:13" ht="14.25" customHeight="1" thickBot="1" x14ac:dyDescent="0.3">
      <c r="A86" s="109" t="s">
        <v>290</v>
      </c>
      <c r="B86" s="110">
        <v>585000</v>
      </c>
      <c r="C86" s="110">
        <v>585000</v>
      </c>
      <c r="D86" s="110">
        <v>702000</v>
      </c>
      <c r="E86" s="110">
        <v>702000</v>
      </c>
      <c r="F86" s="110">
        <v>702000</v>
      </c>
      <c r="G86" s="110">
        <v>819000</v>
      </c>
      <c r="H86" s="110">
        <v>819000</v>
      </c>
      <c r="I86" s="110">
        <v>819000</v>
      </c>
      <c r="J86" s="110">
        <v>819000</v>
      </c>
      <c r="K86" s="110">
        <v>819000</v>
      </c>
      <c r="L86" s="110">
        <v>819000</v>
      </c>
      <c r="M86" s="110">
        <v>819000</v>
      </c>
    </row>
    <row r="87" spans="1:13" ht="14.25" customHeight="1" thickBot="1" x14ac:dyDescent="0.3">
      <c r="A87" s="69" t="s">
        <v>291</v>
      </c>
      <c r="B87" s="95">
        <v>0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</row>
    <row r="88" spans="1:13" ht="14.25" customHeight="1" thickBot="1" x14ac:dyDescent="0.3">
      <c r="A88" s="69" t="s">
        <v>292</v>
      </c>
      <c r="B88" s="95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</row>
    <row r="89" spans="1:13" ht="14.25" customHeight="1" thickBot="1" x14ac:dyDescent="0.3">
      <c r="A89" s="69" t="s">
        <v>293</v>
      </c>
      <c r="B89" s="95">
        <f>B86</f>
        <v>585000</v>
      </c>
      <c r="C89" s="95">
        <f t="shared" ref="C89:M89" si="31">C86</f>
        <v>585000</v>
      </c>
      <c r="D89" s="95">
        <f t="shared" si="31"/>
        <v>702000</v>
      </c>
      <c r="E89" s="95">
        <f t="shared" si="31"/>
        <v>702000</v>
      </c>
      <c r="F89" s="95">
        <f t="shared" si="31"/>
        <v>702000</v>
      </c>
      <c r="G89" s="95">
        <f t="shared" si="31"/>
        <v>819000</v>
      </c>
      <c r="H89" s="95">
        <f t="shared" si="31"/>
        <v>819000</v>
      </c>
      <c r="I89" s="95">
        <f t="shared" si="31"/>
        <v>819000</v>
      </c>
      <c r="J89" s="95">
        <f t="shared" si="31"/>
        <v>819000</v>
      </c>
      <c r="K89" s="95">
        <f t="shared" si="31"/>
        <v>819000</v>
      </c>
      <c r="L89" s="95">
        <f t="shared" si="31"/>
        <v>819000</v>
      </c>
      <c r="M89" s="95">
        <f t="shared" si="31"/>
        <v>819000</v>
      </c>
    </row>
    <row r="90" spans="1:13" ht="14.25" customHeight="1" thickBot="1" x14ac:dyDescent="0.3">
      <c r="A90" s="109" t="s">
        <v>294</v>
      </c>
      <c r="B90" s="110">
        <f>B93+B94+B95+B96+B97+B98</f>
        <v>304211.5</v>
      </c>
      <c r="C90" s="110">
        <f t="shared" ref="C90:M90" si="32">C93+C94+C95+C96+C97+C98</f>
        <v>304211.5</v>
      </c>
      <c r="D90" s="110">
        <f t="shared" si="32"/>
        <v>334631.5</v>
      </c>
      <c r="E90" s="110">
        <f t="shared" si="32"/>
        <v>334631.5</v>
      </c>
      <c r="F90" s="110">
        <f t="shared" si="32"/>
        <v>334631.5</v>
      </c>
      <c r="G90" s="110">
        <f t="shared" si="32"/>
        <v>365051.5</v>
      </c>
      <c r="H90" s="110">
        <f t="shared" si="32"/>
        <v>365051.5</v>
      </c>
      <c r="I90" s="110">
        <f t="shared" si="32"/>
        <v>365051.5</v>
      </c>
      <c r="J90" s="110">
        <f t="shared" si="32"/>
        <v>365051.5</v>
      </c>
      <c r="K90" s="110">
        <f t="shared" si="32"/>
        <v>365051.5</v>
      </c>
      <c r="L90" s="110">
        <f t="shared" si="32"/>
        <v>365051.5</v>
      </c>
      <c r="M90" s="110">
        <f t="shared" si="32"/>
        <v>365051.5</v>
      </c>
    </row>
    <row r="91" spans="1:13" ht="14.25" customHeight="1" thickBot="1" x14ac:dyDescent="0.3">
      <c r="A91" s="69" t="s">
        <v>295</v>
      </c>
      <c r="B91" s="95">
        <v>0</v>
      </c>
      <c r="C91" s="95">
        <v>0</v>
      </c>
      <c r="D91" s="95">
        <v>0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</row>
    <row r="92" spans="1:13" ht="14.25" customHeight="1" thickBot="1" x14ac:dyDescent="0.3">
      <c r="A92" s="69" t="s">
        <v>296</v>
      </c>
      <c r="B92" s="95">
        <v>0</v>
      </c>
      <c r="C92" s="95">
        <v>0</v>
      </c>
      <c r="D92" s="95">
        <v>0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</row>
    <row r="93" spans="1:13" ht="14.25" customHeight="1" thickBot="1" x14ac:dyDescent="0.3">
      <c r="A93" s="69" t="s">
        <v>297</v>
      </c>
      <c r="B93" s="95">
        <v>87546.8</v>
      </c>
      <c r="C93" s="95">
        <v>87546.8</v>
      </c>
      <c r="D93" s="95">
        <v>87546.8</v>
      </c>
      <c r="E93" s="95">
        <v>87546.8</v>
      </c>
      <c r="F93" s="95">
        <v>87546.8</v>
      </c>
      <c r="G93" s="95">
        <v>87546.8</v>
      </c>
      <c r="H93" s="95">
        <v>87546.8</v>
      </c>
      <c r="I93" s="95">
        <v>87546.8</v>
      </c>
      <c r="J93" s="95">
        <v>87546.8</v>
      </c>
      <c r="K93" s="95">
        <v>87546.8</v>
      </c>
      <c r="L93" s="95">
        <v>87546.8</v>
      </c>
      <c r="M93" s="95">
        <v>87546.8</v>
      </c>
    </row>
    <row r="94" spans="1:13" ht="14.25" customHeight="1" thickBot="1" x14ac:dyDescent="0.3">
      <c r="A94" s="69" t="s">
        <v>298</v>
      </c>
      <c r="B94" s="95">
        <v>37850</v>
      </c>
      <c r="C94" s="95">
        <v>37850</v>
      </c>
      <c r="D94" s="95">
        <v>37850</v>
      </c>
      <c r="E94" s="95">
        <v>37850</v>
      </c>
      <c r="F94" s="95">
        <v>37850</v>
      </c>
      <c r="G94" s="95">
        <v>37850</v>
      </c>
      <c r="H94" s="95">
        <v>37850</v>
      </c>
      <c r="I94" s="95">
        <v>37850</v>
      </c>
      <c r="J94" s="95">
        <v>37850</v>
      </c>
      <c r="K94" s="95">
        <v>37850</v>
      </c>
      <c r="L94" s="95">
        <v>37850</v>
      </c>
      <c r="M94" s="95">
        <v>37850</v>
      </c>
    </row>
    <row r="95" spans="1:13" ht="14.25" customHeight="1" thickBot="1" x14ac:dyDescent="0.3">
      <c r="A95" s="69" t="s">
        <v>299</v>
      </c>
      <c r="B95" s="95">
        <v>117000</v>
      </c>
      <c r="C95" s="95">
        <v>117000</v>
      </c>
      <c r="D95" s="95">
        <v>140400</v>
      </c>
      <c r="E95" s="95">
        <v>140400</v>
      </c>
      <c r="F95" s="95">
        <v>140400</v>
      </c>
      <c r="G95" s="95">
        <v>163800</v>
      </c>
      <c r="H95" s="95">
        <v>163800</v>
      </c>
      <c r="I95" s="95">
        <v>163800</v>
      </c>
      <c r="J95" s="95">
        <v>163800</v>
      </c>
      <c r="K95" s="95">
        <v>163800</v>
      </c>
      <c r="L95" s="95">
        <v>163800</v>
      </c>
      <c r="M95" s="95">
        <v>163800</v>
      </c>
    </row>
    <row r="96" spans="1:13" ht="14.25" customHeight="1" thickBot="1" x14ac:dyDescent="0.3">
      <c r="A96" s="69" t="s">
        <v>305</v>
      </c>
      <c r="B96" s="95">
        <v>5661.7</v>
      </c>
      <c r="C96" s="95">
        <v>5661.7</v>
      </c>
      <c r="D96" s="95">
        <v>5661.7</v>
      </c>
      <c r="E96" s="95">
        <v>5661.7</v>
      </c>
      <c r="F96" s="95">
        <v>5661.7</v>
      </c>
      <c r="G96" s="95">
        <v>5661.7</v>
      </c>
      <c r="H96" s="95">
        <v>5661.7</v>
      </c>
      <c r="I96" s="95">
        <v>5661.7</v>
      </c>
      <c r="J96" s="95">
        <v>5661.7</v>
      </c>
      <c r="K96" s="95">
        <v>5661.7</v>
      </c>
      <c r="L96" s="95">
        <v>5661.7</v>
      </c>
      <c r="M96" s="95">
        <v>5661.7</v>
      </c>
    </row>
    <row r="97" spans="1:13" ht="14.25" customHeight="1" thickBot="1" x14ac:dyDescent="0.3">
      <c r="A97" s="69" t="s">
        <v>302</v>
      </c>
      <c r="B97" s="95">
        <v>21053</v>
      </c>
      <c r="C97" s="95">
        <v>21053</v>
      </c>
      <c r="D97" s="95">
        <v>21053</v>
      </c>
      <c r="E97" s="95">
        <v>21053</v>
      </c>
      <c r="F97" s="95">
        <v>21053</v>
      </c>
      <c r="G97" s="95">
        <v>21053</v>
      </c>
      <c r="H97" s="95">
        <v>21053</v>
      </c>
      <c r="I97" s="95">
        <v>21053</v>
      </c>
      <c r="J97" s="95">
        <v>21053</v>
      </c>
      <c r="K97" s="95">
        <v>21053</v>
      </c>
      <c r="L97" s="95">
        <v>21053</v>
      </c>
      <c r="M97" s="95">
        <v>21053</v>
      </c>
    </row>
    <row r="98" spans="1:13" ht="14.25" customHeight="1" thickBot="1" x14ac:dyDescent="0.3">
      <c r="A98" s="69" t="s">
        <v>301</v>
      </c>
      <c r="B98" s="95">
        <f>B89*6/100</f>
        <v>35100</v>
      </c>
      <c r="C98" s="95">
        <f t="shared" ref="C98:M98" si="33">C89*6/100</f>
        <v>35100</v>
      </c>
      <c r="D98" s="95">
        <f t="shared" si="33"/>
        <v>42120</v>
      </c>
      <c r="E98" s="95">
        <f t="shared" si="33"/>
        <v>42120</v>
      </c>
      <c r="F98" s="95">
        <f t="shared" si="33"/>
        <v>42120</v>
      </c>
      <c r="G98" s="95">
        <f t="shared" si="33"/>
        <v>49140</v>
      </c>
      <c r="H98" s="95">
        <f t="shared" si="33"/>
        <v>49140</v>
      </c>
      <c r="I98" s="95">
        <f t="shared" si="33"/>
        <v>49140</v>
      </c>
      <c r="J98" s="95">
        <f t="shared" si="33"/>
        <v>49140</v>
      </c>
      <c r="K98" s="95">
        <f t="shared" si="33"/>
        <v>49140</v>
      </c>
      <c r="L98" s="95">
        <f t="shared" si="33"/>
        <v>49140</v>
      </c>
      <c r="M98" s="95">
        <f t="shared" si="33"/>
        <v>49140</v>
      </c>
    </row>
    <row r="99" spans="1:13" ht="14.25" customHeight="1" thickBot="1" x14ac:dyDescent="0.3">
      <c r="A99" s="69" t="s">
        <v>306</v>
      </c>
      <c r="B99" s="95">
        <f>K79</f>
        <v>1483784.5</v>
      </c>
      <c r="C99" s="95" t="s">
        <v>108</v>
      </c>
      <c r="D99" s="95" t="s">
        <v>108</v>
      </c>
      <c r="E99" s="95" t="s">
        <v>108</v>
      </c>
      <c r="F99" s="95" t="s">
        <v>108</v>
      </c>
      <c r="G99" s="95" t="s">
        <v>108</v>
      </c>
      <c r="H99" s="95" t="s">
        <v>108</v>
      </c>
      <c r="I99" s="95" t="s">
        <v>108</v>
      </c>
      <c r="J99" s="95" t="s">
        <v>108</v>
      </c>
      <c r="K99" s="95" t="s">
        <v>108</v>
      </c>
      <c r="L99" s="95" t="s">
        <v>108</v>
      </c>
      <c r="M99" s="95" t="s">
        <v>108</v>
      </c>
    </row>
    <row r="100" spans="1:13" ht="14.25" customHeight="1" thickBot="1" x14ac:dyDescent="0.3">
      <c r="A100" s="109" t="s">
        <v>303</v>
      </c>
      <c r="B100" s="110">
        <f>B99+B86-B90</f>
        <v>1764573</v>
      </c>
      <c r="C100" s="110">
        <f t="shared" ref="C100:M100" si="34">B100+C86-C90</f>
        <v>2045361.5</v>
      </c>
      <c r="D100" s="110">
        <f t="shared" si="34"/>
        <v>2412730</v>
      </c>
      <c r="E100" s="110">
        <f t="shared" si="34"/>
        <v>2780098.5</v>
      </c>
      <c r="F100" s="110">
        <f t="shared" si="34"/>
        <v>3147467</v>
      </c>
      <c r="G100" s="110">
        <f t="shared" si="34"/>
        <v>3601415.5</v>
      </c>
      <c r="H100" s="110">
        <f t="shared" si="34"/>
        <v>4055364</v>
      </c>
      <c r="I100" s="110">
        <f t="shared" si="34"/>
        <v>4509312.5</v>
      </c>
      <c r="J100" s="110">
        <f t="shared" si="34"/>
        <v>4963261</v>
      </c>
      <c r="K100" s="110">
        <f t="shared" si="34"/>
        <v>5417209.5</v>
      </c>
      <c r="L100" s="110">
        <f t="shared" si="34"/>
        <v>5871158</v>
      </c>
      <c r="M100" s="110">
        <f t="shared" si="34"/>
        <v>6325106.5</v>
      </c>
    </row>
    <row r="101" spans="1:13" ht="14.25" customHeight="1" x14ac:dyDescent="0.25">
      <c r="A101" s="254" t="s">
        <v>74</v>
      </c>
      <c r="B101" s="89">
        <f>B89-B91-B92-B93-B94-B95</f>
        <v>342603.2</v>
      </c>
      <c r="C101" s="89">
        <f t="shared" ref="C101:M101" si="35">C89-C91-C92-C93-C94-C95</f>
        <v>342603.2</v>
      </c>
      <c r="D101" s="89">
        <f t="shared" si="35"/>
        <v>436203.19999999995</v>
      </c>
      <c r="E101" s="89">
        <f t="shared" si="35"/>
        <v>436203.19999999995</v>
      </c>
      <c r="F101" s="89">
        <f t="shared" si="35"/>
        <v>436203.19999999995</v>
      </c>
      <c r="G101" s="89">
        <f t="shared" si="35"/>
        <v>529803.19999999995</v>
      </c>
      <c r="H101" s="89">
        <f t="shared" si="35"/>
        <v>529803.19999999995</v>
      </c>
      <c r="I101" s="89">
        <f t="shared" si="35"/>
        <v>529803.19999999995</v>
      </c>
      <c r="J101" s="89">
        <f t="shared" si="35"/>
        <v>529803.19999999995</v>
      </c>
      <c r="K101" s="89">
        <f t="shared" si="35"/>
        <v>529803.19999999995</v>
      </c>
      <c r="L101" s="89">
        <f t="shared" si="35"/>
        <v>529803.19999999995</v>
      </c>
      <c r="M101" s="89">
        <f t="shared" si="35"/>
        <v>529803.19999999995</v>
      </c>
    </row>
    <row r="102" spans="1:13" ht="14.25" customHeight="1" x14ac:dyDescent="0.2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</row>
    <row r="103" spans="1:13" ht="14.25" customHeight="1" x14ac:dyDescent="0.2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</row>
    <row r="104" spans="1:13" ht="14.25" customHeight="1" thickBot="1" x14ac:dyDescent="0.3">
      <c r="A104" s="154" t="s">
        <v>307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89"/>
      <c r="L104" s="89"/>
      <c r="M104" s="89"/>
    </row>
    <row r="105" spans="1:13" ht="14.25" customHeight="1" thickBot="1" x14ac:dyDescent="0.3">
      <c r="A105" s="67" t="s">
        <v>308</v>
      </c>
      <c r="B105" s="92" t="s">
        <v>261</v>
      </c>
      <c r="C105" s="92" t="s">
        <v>262</v>
      </c>
      <c r="D105" s="92" t="s">
        <v>263</v>
      </c>
      <c r="E105" s="92" t="s">
        <v>264</v>
      </c>
      <c r="F105" s="92" t="s">
        <v>251</v>
      </c>
      <c r="G105" s="92" t="s">
        <v>265</v>
      </c>
      <c r="H105" s="92" t="s">
        <v>266</v>
      </c>
      <c r="I105" s="92" t="s">
        <v>267</v>
      </c>
      <c r="J105" s="92" t="s">
        <v>268</v>
      </c>
      <c r="K105" s="92" t="s">
        <v>269</v>
      </c>
      <c r="L105" s="92" t="s">
        <v>270</v>
      </c>
      <c r="M105" s="92" t="s">
        <v>271</v>
      </c>
    </row>
    <row r="106" spans="1:13" ht="14.25" customHeight="1" thickBot="1" x14ac:dyDescent="0.3">
      <c r="A106" s="109" t="s">
        <v>309</v>
      </c>
      <c r="B106" s="110">
        <v>819000</v>
      </c>
      <c r="C106" s="110">
        <v>819000</v>
      </c>
      <c r="D106" s="110">
        <v>819000</v>
      </c>
      <c r="E106" s="110">
        <v>819000</v>
      </c>
      <c r="F106" s="110">
        <v>819000</v>
      </c>
      <c r="G106" s="110">
        <v>819000</v>
      </c>
      <c r="H106" s="110">
        <v>819000</v>
      </c>
      <c r="I106" s="110">
        <v>819000</v>
      </c>
      <c r="J106" s="110">
        <v>819000</v>
      </c>
      <c r="K106" s="110">
        <v>819000</v>
      </c>
      <c r="L106" s="110">
        <v>819000</v>
      </c>
      <c r="M106" s="110">
        <v>819000</v>
      </c>
    </row>
    <row r="107" spans="1:13" ht="14.25" customHeight="1" thickBot="1" x14ac:dyDescent="0.3">
      <c r="A107" s="69" t="s">
        <v>291</v>
      </c>
      <c r="B107" s="95">
        <v>0</v>
      </c>
      <c r="C107" s="95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</row>
    <row r="108" spans="1:13" ht="14.25" customHeight="1" thickBot="1" x14ac:dyDescent="0.3">
      <c r="A108" s="69" t="s">
        <v>292</v>
      </c>
      <c r="B108" s="95">
        <v>0</v>
      </c>
      <c r="C108" s="95">
        <v>0</v>
      </c>
      <c r="D108" s="95"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</row>
    <row r="109" spans="1:13" ht="14.25" customHeight="1" thickBot="1" x14ac:dyDescent="0.3">
      <c r="A109" s="69" t="s">
        <v>293</v>
      </c>
      <c r="B109" s="95">
        <v>819000</v>
      </c>
      <c r="C109" s="95">
        <v>819000</v>
      </c>
      <c r="D109" s="95">
        <v>819000</v>
      </c>
      <c r="E109" s="95">
        <v>819000</v>
      </c>
      <c r="F109" s="95">
        <v>819000</v>
      </c>
      <c r="G109" s="95">
        <v>819000</v>
      </c>
      <c r="H109" s="95">
        <v>819000</v>
      </c>
      <c r="I109" s="95">
        <v>819000</v>
      </c>
      <c r="J109" s="95">
        <v>819000</v>
      </c>
      <c r="K109" s="95">
        <v>819000</v>
      </c>
      <c r="L109" s="95">
        <v>819000</v>
      </c>
      <c r="M109" s="95">
        <v>819000</v>
      </c>
    </row>
    <row r="110" spans="1:13" ht="14.25" customHeight="1" thickBot="1" x14ac:dyDescent="0.3">
      <c r="A110" s="109" t="s">
        <v>294</v>
      </c>
      <c r="B110" s="110">
        <f>B113+B114+B115+B116+B117+B118</f>
        <v>365051.5</v>
      </c>
      <c r="C110" s="110">
        <f t="shared" ref="C110:M110" si="36">C113+C114+C115+C116+C117+C118</f>
        <v>365051.5</v>
      </c>
      <c r="D110" s="110">
        <f t="shared" si="36"/>
        <v>365051.5</v>
      </c>
      <c r="E110" s="110">
        <f t="shared" si="36"/>
        <v>365051.5</v>
      </c>
      <c r="F110" s="110">
        <f t="shared" si="36"/>
        <v>365051.5</v>
      </c>
      <c r="G110" s="110">
        <f t="shared" si="36"/>
        <v>365051.5</v>
      </c>
      <c r="H110" s="110">
        <f t="shared" si="36"/>
        <v>365051.5</v>
      </c>
      <c r="I110" s="110">
        <f t="shared" si="36"/>
        <v>365051.5</v>
      </c>
      <c r="J110" s="110">
        <f t="shared" si="36"/>
        <v>365051.5</v>
      </c>
      <c r="K110" s="110">
        <f t="shared" si="36"/>
        <v>365051.5</v>
      </c>
      <c r="L110" s="110">
        <f t="shared" si="36"/>
        <v>365051.5</v>
      </c>
      <c r="M110" s="110">
        <f t="shared" si="36"/>
        <v>365051.5</v>
      </c>
    </row>
    <row r="111" spans="1:13" ht="14.25" customHeight="1" thickBot="1" x14ac:dyDescent="0.3">
      <c r="A111" s="69" t="s">
        <v>295</v>
      </c>
      <c r="B111" s="95">
        <v>0</v>
      </c>
      <c r="C111" s="95">
        <v>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</row>
    <row r="112" spans="1:13" ht="14.25" customHeight="1" thickBot="1" x14ac:dyDescent="0.3">
      <c r="A112" s="69" t="s">
        <v>296</v>
      </c>
      <c r="B112" s="95">
        <v>0</v>
      </c>
      <c r="C112" s="95">
        <v>0</v>
      </c>
      <c r="D112" s="95">
        <v>0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</row>
    <row r="113" spans="1:21" ht="14.25" customHeight="1" thickBot="1" x14ac:dyDescent="0.3">
      <c r="A113" s="69" t="s">
        <v>297</v>
      </c>
      <c r="B113" s="95">
        <v>87546.8</v>
      </c>
      <c r="C113" s="95">
        <v>87546.8</v>
      </c>
      <c r="D113" s="95">
        <v>87546.8</v>
      </c>
      <c r="E113" s="95">
        <v>87546.8</v>
      </c>
      <c r="F113" s="95">
        <v>87546.8</v>
      </c>
      <c r="G113" s="95">
        <v>87546.8</v>
      </c>
      <c r="H113" s="95">
        <v>87546.8</v>
      </c>
      <c r="I113" s="95">
        <v>87546.8</v>
      </c>
      <c r="J113" s="95">
        <v>87546.8</v>
      </c>
      <c r="K113" s="95">
        <v>87546.8</v>
      </c>
      <c r="L113" s="95">
        <v>87546.8</v>
      </c>
      <c r="M113" s="95">
        <v>87546.8</v>
      </c>
    </row>
    <row r="114" spans="1:21" ht="14.25" customHeight="1" thickBot="1" x14ac:dyDescent="0.3">
      <c r="A114" s="69" t="s">
        <v>298</v>
      </c>
      <c r="B114" s="95">
        <v>37850</v>
      </c>
      <c r="C114" s="95">
        <v>37850</v>
      </c>
      <c r="D114" s="95">
        <v>37850</v>
      </c>
      <c r="E114" s="95">
        <v>37850</v>
      </c>
      <c r="F114" s="95">
        <v>37850</v>
      </c>
      <c r="G114" s="95">
        <v>37850</v>
      </c>
      <c r="H114" s="95">
        <v>37850</v>
      </c>
      <c r="I114" s="95">
        <v>37850</v>
      </c>
      <c r="J114" s="95">
        <v>37850</v>
      </c>
      <c r="K114" s="95">
        <v>37850</v>
      </c>
      <c r="L114" s="95">
        <v>37850</v>
      </c>
      <c r="M114" s="95">
        <v>37850</v>
      </c>
    </row>
    <row r="115" spans="1:21" ht="14.25" customHeight="1" thickBot="1" x14ac:dyDescent="0.3">
      <c r="A115" s="69" t="s">
        <v>299</v>
      </c>
      <c r="B115" s="95">
        <v>163800</v>
      </c>
      <c r="C115" s="95">
        <v>163800</v>
      </c>
      <c r="D115" s="95">
        <v>163800</v>
      </c>
      <c r="E115" s="95">
        <v>163800</v>
      </c>
      <c r="F115" s="95">
        <v>163800</v>
      </c>
      <c r="G115" s="95">
        <v>163800</v>
      </c>
      <c r="H115" s="95">
        <v>163800</v>
      </c>
      <c r="I115" s="95">
        <v>163800</v>
      </c>
      <c r="J115" s="95">
        <v>163800</v>
      </c>
      <c r="K115" s="95">
        <v>163800</v>
      </c>
      <c r="L115" s="95">
        <v>163800</v>
      </c>
      <c r="M115" s="95">
        <v>163800</v>
      </c>
    </row>
    <row r="116" spans="1:21" ht="14.25" customHeight="1" thickBot="1" x14ac:dyDescent="0.3">
      <c r="A116" s="69" t="s">
        <v>305</v>
      </c>
      <c r="B116" s="95">
        <v>5661.7</v>
      </c>
      <c r="C116" s="95">
        <v>5661.7</v>
      </c>
      <c r="D116" s="95">
        <v>5661.7</v>
      </c>
      <c r="E116" s="95">
        <v>5661.7</v>
      </c>
      <c r="F116" s="95">
        <v>5661.7</v>
      </c>
      <c r="G116" s="95">
        <v>5661.7</v>
      </c>
      <c r="H116" s="95">
        <v>5661.7</v>
      </c>
      <c r="I116" s="95">
        <v>5661.7</v>
      </c>
      <c r="J116" s="95">
        <v>5661.7</v>
      </c>
      <c r="K116" s="95">
        <v>5661.7</v>
      </c>
      <c r="L116" s="95">
        <v>5661.7</v>
      </c>
      <c r="M116" s="95">
        <v>5661.7</v>
      </c>
    </row>
    <row r="117" spans="1:21" ht="14.25" customHeight="1" thickBot="1" x14ac:dyDescent="0.3">
      <c r="A117" s="69" t="s">
        <v>302</v>
      </c>
      <c r="B117" s="95">
        <v>21053</v>
      </c>
      <c r="C117" s="95">
        <v>21053</v>
      </c>
      <c r="D117" s="95">
        <v>21053</v>
      </c>
      <c r="E117" s="95">
        <v>21053</v>
      </c>
      <c r="F117" s="95">
        <v>21053</v>
      </c>
      <c r="G117" s="95">
        <v>21053</v>
      </c>
      <c r="H117" s="95">
        <v>21053</v>
      </c>
      <c r="I117" s="95">
        <v>21053</v>
      </c>
      <c r="J117" s="95">
        <v>21053</v>
      </c>
      <c r="K117" s="95">
        <v>21053</v>
      </c>
      <c r="L117" s="95">
        <v>21053</v>
      </c>
      <c r="M117" s="95">
        <v>21053</v>
      </c>
    </row>
    <row r="118" spans="1:21" ht="14.25" customHeight="1" thickBot="1" x14ac:dyDescent="0.3">
      <c r="A118" s="69" t="s">
        <v>301</v>
      </c>
      <c r="B118" s="95">
        <f>B106*6/100</f>
        <v>49140</v>
      </c>
      <c r="C118" s="95">
        <f t="shared" ref="C118:M118" si="37">C106*6/100</f>
        <v>49140</v>
      </c>
      <c r="D118" s="95">
        <f t="shared" si="37"/>
        <v>49140</v>
      </c>
      <c r="E118" s="95">
        <f t="shared" si="37"/>
        <v>49140</v>
      </c>
      <c r="F118" s="95">
        <f t="shared" si="37"/>
        <v>49140</v>
      </c>
      <c r="G118" s="95">
        <f t="shared" si="37"/>
        <v>49140</v>
      </c>
      <c r="H118" s="95">
        <f t="shared" si="37"/>
        <v>49140</v>
      </c>
      <c r="I118" s="95">
        <f t="shared" si="37"/>
        <v>49140</v>
      </c>
      <c r="J118" s="95">
        <f t="shared" si="37"/>
        <v>49140</v>
      </c>
      <c r="K118" s="95">
        <f t="shared" si="37"/>
        <v>49140</v>
      </c>
      <c r="L118" s="95">
        <f t="shared" si="37"/>
        <v>49140</v>
      </c>
      <c r="M118" s="95">
        <f t="shared" si="37"/>
        <v>49140</v>
      </c>
    </row>
    <row r="119" spans="1:21" ht="14.25" customHeight="1" thickBot="1" x14ac:dyDescent="0.3">
      <c r="A119" s="69" t="s">
        <v>310</v>
      </c>
      <c r="B119" s="95">
        <f>M100</f>
        <v>6325106.5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1:21" ht="14.25" customHeight="1" thickBot="1" x14ac:dyDescent="0.3">
      <c r="A120" s="109" t="s">
        <v>311</v>
      </c>
      <c r="B120" s="255">
        <f>B119+B106-B110</f>
        <v>6779055</v>
      </c>
      <c r="C120" s="255">
        <f t="shared" ref="C120:M120" si="38">B120+C106-C110</f>
        <v>7233003.5</v>
      </c>
      <c r="D120" s="255">
        <f t="shared" si="38"/>
        <v>7686952</v>
      </c>
      <c r="E120" s="255">
        <f t="shared" si="38"/>
        <v>8140900.5</v>
      </c>
      <c r="F120" s="255">
        <f t="shared" si="38"/>
        <v>8594849</v>
      </c>
      <c r="G120" s="255">
        <f t="shared" si="38"/>
        <v>9048797.5</v>
      </c>
      <c r="H120" s="255">
        <f t="shared" si="38"/>
        <v>9502746</v>
      </c>
      <c r="I120" s="255">
        <f t="shared" si="38"/>
        <v>9956694.5</v>
      </c>
      <c r="J120" s="255">
        <f t="shared" si="38"/>
        <v>10410643</v>
      </c>
      <c r="K120" s="255">
        <f t="shared" si="38"/>
        <v>10864591.5</v>
      </c>
      <c r="L120" s="255">
        <f t="shared" si="38"/>
        <v>11318540</v>
      </c>
      <c r="M120" s="255">
        <f t="shared" si="38"/>
        <v>11772488.5</v>
      </c>
    </row>
    <row r="121" spans="1:21" ht="14.25" customHeight="1" x14ac:dyDescent="0.3">
      <c r="A121" s="52" t="s">
        <v>74</v>
      </c>
      <c r="B121" s="257">
        <f>B106-B111-B112-B113-B114-B115</f>
        <v>529803.19999999995</v>
      </c>
      <c r="C121" s="257">
        <f t="shared" ref="C121:M121" si="39">C106-C111-C112-C113-C114-C115</f>
        <v>529803.19999999995</v>
      </c>
      <c r="D121" s="257">
        <f t="shared" si="39"/>
        <v>529803.19999999995</v>
      </c>
      <c r="E121" s="257">
        <f t="shared" si="39"/>
        <v>529803.19999999995</v>
      </c>
      <c r="F121" s="257">
        <f t="shared" si="39"/>
        <v>529803.19999999995</v>
      </c>
      <c r="G121" s="257">
        <f t="shared" si="39"/>
        <v>529803.19999999995</v>
      </c>
      <c r="H121" s="257">
        <f t="shared" si="39"/>
        <v>529803.19999999995</v>
      </c>
      <c r="I121" s="257">
        <f t="shared" si="39"/>
        <v>529803.19999999995</v>
      </c>
      <c r="J121" s="257">
        <f t="shared" si="39"/>
        <v>529803.19999999995</v>
      </c>
      <c r="K121" s="257">
        <f t="shared" si="39"/>
        <v>529803.19999999995</v>
      </c>
      <c r="L121" s="257">
        <f t="shared" si="39"/>
        <v>529803.19999999995</v>
      </c>
      <c r="M121" s="257">
        <f t="shared" si="39"/>
        <v>529803.19999999995</v>
      </c>
    </row>
    <row r="122" spans="1:21" ht="14.25" customHeight="1" x14ac:dyDescent="0.3">
      <c r="B122" s="1"/>
    </row>
    <row r="123" spans="1:21" ht="14.25" customHeight="1" x14ac:dyDescent="0.3">
      <c r="B123" s="1"/>
    </row>
    <row r="124" spans="1:21" ht="14.25" customHeight="1" x14ac:dyDescent="0.3">
      <c r="B124" s="1"/>
    </row>
    <row r="125" spans="1:21" ht="14.25" customHeight="1" x14ac:dyDescent="0.35">
      <c r="A125" s="167"/>
      <c r="B125" s="168" t="s">
        <v>313</v>
      </c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70"/>
    </row>
    <row r="126" spans="1:21" ht="14.25" customHeight="1" x14ac:dyDescent="0.3">
      <c r="A126" s="171"/>
      <c r="B126" s="172" t="s">
        <v>314</v>
      </c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4"/>
    </row>
    <row r="127" spans="1:21" ht="14.25" customHeight="1" x14ac:dyDescent="0.3">
      <c r="A127" s="175"/>
      <c r="B127" s="176" t="s">
        <v>315</v>
      </c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4"/>
    </row>
    <row r="128" spans="1:21" ht="14.25" customHeight="1" x14ac:dyDescent="0.3">
      <c r="A128" s="177" t="s">
        <v>316</v>
      </c>
      <c r="B128" s="178" t="s">
        <v>317</v>
      </c>
      <c r="C128" s="179" t="s">
        <v>318</v>
      </c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80"/>
    </row>
    <row r="129" spans="1:21" ht="14.25" customHeight="1" thickBot="1" x14ac:dyDescent="0.35">
      <c r="A129" s="177"/>
      <c r="B129" s="181"/>
      <c r="C129" s="182">
        <v>1</v>
      </c>
      <c r="D129" s="182">
        <v>2</v>
      </c>
      <c r="E129" s="182">
        <v>3</v>
      </c>
      <c r="F129" s="182">
        <v>4</v>
      </c>
      <c r="G129" s="182">
        <v>5</v>
      </c>
      <c r="H129" s="182">
        <v>6</v>
      </c>
      <c r="I129" s="182">
        <v>7</v>
      </c>
      <c r="J129" s="182">
        <v>8</v>
      </c>
      <c r="K129" s="182">
        <v>9</v>
      </c>
      <c r="L129" s="182">
        <v>10</v>
      </c>
      <c r="M129" s="182">
        <v>11</v>
      </c>
      <c r="N129" s="182">
        <v>12</v>
      </c>
      <c r="O129" s="182">
        <v>13</v>
      </c>
      <c r="P129" s="182">
        <v>14</v>
      </c>
      <c r="Q129" s="182">
        <v>15</v>
      </c>
      <c r="R129" s="182">
        <v>16</v>
      </c>
      <c r="S129" s="182">
        <v>17</v>
      </c>
      <c r="T129" s="182">
        <v>18</v>
      </c>
      <c r="U129" s="183" t="s">
        <v>319</v>
      </c>
    </row>
    <row r="130" spans="1:21" ht="14.25" customHeight="1" thickBot="1" x14ac:dyDescent="0.3">
      <c r="A130" s="184">
        <v>1</v>
      </c>
      <c r="B130" s="185" t="s">
        <v>295</v>
      </c>
      <c r="C130" s="186">
        <v>0</v>
      </c>
      <c r="D130" s="186">
        <v>0</v>
      </c>
      <c r="E130" s="186">
        <v>0</v>
      </c>
      <c r="F130" s="186">
        <v>339700</v>
      </c>
      <c r="G130" s="186">
        <v>0</v>
      </c>
      <c r="H130" s="186">
        <v>0</v>
      </c>
      <c r="I130" s="186">
        <v>0</v>
      </c>
      <c r="J130" s="186">
        <v>0</v>
      </c>
      <c r="K130" s="186">
        <v>0</v>
      </c>
      <c r="L130" s="186">
        <v>0</v>
      </c>
      <c r="M130" s="186">
        <v>0</v>
      </c>
      <c r="N130" s="186">
        <v>0</v>
      </c>
      <c r="O130" s="187">
        <v>0</v>
      </c>
      <c r="P130" s="188">
        <v>0</v>
      </c>
      <c r="Q130" s="188">
        <v>0</v>
      </c>
      <c r="R130" s="188">
        <v>0</v>
      </c>
      <c r="S130" s="188">
        <v>0</v>
      </c>
      <c r="T130" s="188">
        <v>0</v>
      </c>
      <c r="U130" s="189">
        <f>SUM(C130:T130)</f>
        <v>339700</v>
      </c>
    </row>
    <row r="131" spans="1:21" ht="14.25" customHeight="1" thickBot="1" x14ac:dyDescent="0.3">
      <c r="A131" s="184">
        <v>2</v>
      </c>
      <c r="B131" s="185" t="s">
        <v>296</v>
      </c>
      <c r="C131" s="186">
        <v>0</v>
      </c>
      <c r="D131" s="186">
        <v>0</v>
      </c>
      <c r="E131" s="186">
        <v>0</v>
      </c>
      <c r="F131" s="186">
        <v>210000</v>
      </c>
      <c r="G131" s="186">
        <v>0</v>
      </c>
      <c r="H131" s="186">
        <v>0</v>
      </c>
      <c r="I131" s="186">
        <v>0</v>
      </c>
      <c r="J131" s="186">
        <v>0</v>
      </c>
      <c r="K131" s="186">
        <v>0</v>
      </c>
      <c r="L131" s="186">
        <v>0</v>
      </c>
      <c r="M131" s="186">
        <v>0</v>
      </c>
      <c r="N131" s="186">
        <v>0</v>
      </c>
      <c r="O131" s="190">
        <v>0</v>
      </c>
      <c r="P131" s="191">
        <v>0</v>
      </c>
      <c r="Q131" s="191">
        <v>0</v>
      </c>
      <c r="R131" s="191">
        <v>0</v>
      </c>
      <c r="S131" s="191">
        <v>0</v>
      </c>
      <c r="T131" s="191">
        <v>0</v>
      </c>
      <c r="U131" s="189">
        <f t="shared" ref="U131:U143" si="40">SUM(C131:T131)</f>
        <v>210000</v>
      </c>
    </row>
    <row r="132" spans="1:21" ht="14.25" customHeight="1" thickBot="1" x14ac:dyDescent="0.3">
      <c r="A132" s="184">
        <v>3</v>
      </c>
      <c r="B132" s="185" t="s">
        <v>297</v>
      </c>
      <c r="C132" s="186">
        <v>0</v>
      </c>
      <c r="D132" s="186">
        <v>0</v>
      </c>
      <c r="E132" s="186">
        <v>0</v>
      </c>
      <c r="F132" s="186">
        <v>35811.800000000003</v>
      </c>
      <c r="G132" s="186">
        <v>87546.8</v>
      </c>
      <c r="H132" s="186">
        <v>87546.8</v>
      </c>
      <c r="I132" s="186">
        <v>87546.8</v>
      </c>
      <c r="J132" s="186">
        <v>87546.8</v>
      </c>
      <c r="K132" s="186">
        <v>87546.8</v>
      </c>
      <c r="L132" s="186">
        <v>87546.8</v>
      </c>
      <c r="M132" s="186">
        <v>87546.8</v>
      </c>
      <c r="N132" s="186">
        <v>87546.8</v>
      </c>
      <c r="O132" s="186">
        <v>87546.8</v>
      </c>
      <c r="P132" s="186">
        <v>87546.8</v>
      </c>
      <c r="Q132" s="186">
        <v>87546.8</v>
      </c>
      <c r="R132" s="186">
        <v>87546.8</v>
      </c>
      <c r="S132" s="186">
        <v>87546.8</v>
      </c>
      <c r="T132" s="186">
        <v>87546.8</v>
      </c>
      <c r="U132" s="189">
        <f t="shared" si="40"/>
        <v>1261467.0000000002</v>
      </c>
    </row>
    <row r="133" spans="1:21" ht="14.25" customHeight="1" thickBot="1" x14ac:dyDescent="0.3">
      <c r="A133" s="184">
        <v>4</v>
      </c>
      <c r="B133" s="185" t="s">
        <v>298</v>
      </c>
      <c r="C133" s="186">
        <v>0</v>
      </c>
      <c r="D133" s="186">
        <v>0</v>
      </c>
      <c r="E133" s="186">
        <v>0</v>
      </c>
      <c r="F133" s="186">
        <v>30000</v>
      </c>
      <c r="G133" s="186">
        <v>37850</v>
      </c>
      <c r="H133" s="186">
        <v>37850</v>
      </c>
      <c r="I133" s="186">
        <v>37850</v>
      </c>
      <c r="J133" s="186">
        <v>37850</v>
      </c>
      <c r="K133" s="186">
        <v>37850</v>
      </c>
      <c r="L133" s="186">
        <v>37850</v>
      </c>
      <c r="M133" s="186">
        <v>37850</v>
      </c>
      <c r="N133" s="186">
        <v>37850</v>
      </c>
      <c r="O133" s="186">
        <v>37850</v>
      </c>
      <c r="P133" s="186">
        <v>37850</v>
      </c>
      <c r="Q133" s="186">
        <v>37850</v>
      </c>
      <c r="R133" s="186">
        <v>37850</v>
      </c>
      <c r="S133" s="186">
        <v>37850</v>
      </c>
      <c r="T133" s="186">
        <v>37850</v>
      </c>
      <c r="U133" s="189">
        <f t="shared" si="40"/>
        <v>559900</v>
      </c>
    </row>
    <row r="134" spans="1:21" ht="14.25" customHeight="1" thickBot="1" x14ac:dyDescent="0.3">
      <c r="A134" s="184">
        <v>5</v>
      </c>
      <c r="B134" s="185" t="s">
        <v>299</v>
      </c>
      <c r="C134" s="192">
        <v>0</v>
      </c>
      <c r="D134" s="192">
        <v>0</v>
      </c>
      <c r="E134" s="192">
        <v>0</v>
      </c>
      <c r="F134" s="192">
        <v>0</v>
      </c>
      <c r="G134" s="192">
        <v>3510</v>
      </c>
      <c r="H134" s="192">
        <v>46800</v>
      </c>
      <c r="I134" s="192">
        <v>46800</v>
      </c>
      <c r="J134" s="192">
        <v>70200</v>
      </c>
      <c r="K134" s="192">
        <v>70200</v>
      </c>
      <c r="L134" s="192">
        <v>70200</v>
      </c>
      <c r="M134" s="192">
        <v>93600</v>
      </c>
      <c r="N134" s="192">
        <v>93600</v>
      </c>
      <c r="O134" s="193">
        <v>23000</v>
      </c>
      <c r="P134" s="193">
        <v>23000</v>
      </c>
      <c r="Q134" s="194">
        <v>44000</v>
      </c>
      <c r="R134" s="195">
        <v>44000</v>
      </c>
      <c r="S134" s="195">
        <v>44000</v>
      </c>
      <c r="T134" s="195">
        <v>44000</v>
      </c>
      <c r="U134" s="189">
        <f>SUM(C134:T134)</f>
        <v>716910</v>
      </c>
    </row>
    <row r="135" spans="1:21" ht="14.25" customHeight="1" thickBot="1" x14ac:dyDescent="0.3">
      <c r="A135" s="184">
        <v>6</v>
      </c>
      <c r="B135" s="185" t="s">
        <v>320</v>
      </c>
      <c r="C135" s="192">
        <v>0</v>
      </c>
      <c r="D135" s="192">
        <v>0</v>
      </c>
      <c r="E135" s="192">
        <v>0</v>
      </c>
      <c r="F135" s="89">
        <v>0</v>
      </c>
      <c r="G135" s="89">
        <v>10530</v>
      </c>
      <c r="H135" s="89">
        <v>14040</v>
      </c>
      <c r="I135" s="89">
        <v>14040</v>
      </c>
      <c r="J135" s="89">
        <v>21060</v>
      </c>
      <c r="K135" s="89">
        <v>21060</v>
      </c>
      <c r="L135" s="89">
        <v>21060</v>
      </c>
      <c r="M135" s="89">
        <v>28080</v>
      </c>
      <c r="N135" s="89">
        <v>28080</v>
      </c>
      <c r="O135" s="192">
        <v>3011</v>
      </c>
      <c r="P135" s="192">
        <v>3011</v>
      </c>
      <c r="Q135" s="191">
        <v>8861</v>
      </c>
      <c r="R135" s="191">
        <v>8861</v>
      </c>
      <c r="S135" s="191">
        <v>8861</v>
      </c>
      <c r="T135" s="191">
        <v>8861</v>
      </c>
      <c r="U135" s="189">
        <f t="shared" si="40"/>
        <v>199416</v>
      </c>
    </row>
    <row r="136" spans="1:21" ht="14.25" customHeight="1" thickBot="1" x14ac:dyDescent="0.3">
      <c r="A136" s="184">
        <v>7</v>
      </c>
      <c r="B136" s="185" t="s">
        <v>321</v>
      </c>
      <c r="C136" s="192">
        <v>0</v>
      </c>
      <c r="D136" s="192">
        <v>0</v>
      </c>
      <c r="E136" s="192">
        <v>0</v>
      </c>
      <c r="F136" s="192">
        <v>0</v>
      </c>
      <c r="G136" s="192">
        <v>5661.6</v>
      </c>
      <c r="H136" s="192">
        <v>5661.6</v>
      </c>
      <c r="I136" s="192">
        <v>5661.6</v>
      </c>
      <c r="J136" s="192">
        <v>5661.6</v>
      </c>
      <c r="K136" s="192">
        <v>5661.6</v>
      </c>
      <c r="L136" s="192">
        <v>5661.6</v>
      </c>
      <c r="M136" s="192">
        <v>5661.6</v>
      </c>
      <c r="N136" s="192">
        <v>5661.6</v>
      </c>
      <c r="O136" s="192">
        <v>2620</v>
      </c>
      <c r="P136" s="192">
        <v>2620</v>
      </c>
      <c r="Q136" s="192">
        <v>2620</v>
      </c>
      <c r="R136" s="192">
        <v>2620</v>
      </c>
      <c r="S136" s="192">
        <v>2620</v>
      </c>
      <c r="T136" s="192">
        <v>2620</v>
      </c>
      <c r="U136" s="189">
        <f t="shared" si="40"/>
        <v>61012.799999999996</v>
      </c>
    </row>
    <row r="137" spans="1:21" ht="14.25" customHeight="1" thickBot="1" x14ac:dyDescent="0.35">
      <c r="A137" s="184">
        <v>8</v>
      </c>
      <c r="B137" s="185" t="s">
        <v>302</v>
      </c>
      <c r="C137" s="186">
        <v>0</v>
      </c>
      <c r="D137" s="186">
        <v>0</v>
      </c>
      <c r="E137" s="186">
        <v>0</v>
      </c>
      <c r="F137" s="196">
        <v>0</v>
      </c>
      <c r="G137" s="196">
        <v>21053</v>
      </c>
      <c r="H137" s="196">
        <v>21053</v>
      </c>
      <c r="I137" s="196">
        <v>21053</v>
      </c>
      <c r="J137" s="196">
        <v>21053</v>
      </c>
      <c r="K137" s="196">
        <v>21053</v>
      </c>
      <c r="L137" s="196">
        <v>21053</v>
      </c>
      <c r="M137" s="196">
        <v>21053</v>
      </c>
      <c r="N137" s="196">
        <v>21053</v>
      </c>
      <c r="O137" s="196">
        <v>4560.8100000000004</v>
      </c>
      <c r="P137" s="196">
        <v>4560.8100000000004</v>
      </c>
      <c r="Q137" s="196">
        <v>4560.8100000000004</v>
      </c>
      <c r="R137" s="196">
        <v>4560.8100000000004</v>
      </c>
      <c r="S137" s="196">
        <v>4560.8100000000004</v>
      </c>
      <c r="T137" s="196">
        <v>4560.8100000000004</v>
      </c>
      <c r="U137" s="189">
        <f t="shared" si="40"/>
        <v>195788.86</v>
      </c>
    </row>
    <row r="138" spans="1:21" ht="14.25" customHeight="1" x14ac:dyDescent="0.25">
      <c r="A138" s="184"/>
      <c r="B138" s="197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89">
        <f t="shared" si="40"/>
        <v>0</v>
      </c>
    </row>
    <row r="139" spans="1:21" ht="14.25" customHeight="1" x14ac:dyDescent="0.25">
      <c r="A139" s="184"/>
      <c r="B139" s="197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89">
        <f t="shared" si="40"/>
        <v>0</v>
      </c>
    </row>
    <row r="140" spans="1:21" ht="14.25" customHeight="1" x14ac:dyDescent="0.25">
      <c r="A140" s="184"/>
      <c r="B140" s="197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89">
        <f t="shared" si="40"/>
        <v>0</v>
      </c>
    </row>
    <row r="141" spans="1:21" ht="14.25" customHeight="1" x14ac:dyDescent="0.25">
      <c r="A141" s="184"/>
      <c r="B141" s="197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89">
        <f t="shared" si="40"/>
        <v>0</v>
      </c>
    </row>
    <row r="142" spans="1:21" ht="14.25" customHeight="1" x14ac:dyDescent="0.25">
      <c r="A142" s="184"/>
      <c r="B142" s="197"/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89">
        <f t="shared" si="40"/>
        <v>0</v>
      </c>
    </row>
    <row r="143" spans="1:21" ht="14.25" customHeight="1" x14ac:dyDescent="0.25">
      <c r="A143" s="184"/>
      <c r="B143" s="197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89">
        <f t="shared" si="40"/>
        <v>0</v>
      </c>
    </row>
    <row r="144" spans="1:21" ht="14.25" customHeight="1" x14ac:dyDescent="0.3">
      <c r="A144" s="183"/>
      <c r="B144" s="199" t="s">
        <v>322</v>
      </c>
      <c r="C144" s="200">
        <f>SUM(C130:C143)</f>
        <v>0</v>
      </c>
      <c r="D144" s="200">
        <f>SUM(D130:D143)</f>
        <v>0</v>
      </c>
      <c r="E144" s="200">
        <f t="shared" ref="E144:T144" si="41">SUM(E130:E143)</f>
        <v>0</v>
      </c>
      <c r="F144" s="200">
        <f t="shared" si="41"/>
        <v>615511.80000000005</v>
      </c>
      <c r="G144" s="200">
        <f t="shared" si="41"/>
        <v>166151.4</v>
      </c>
      <c r="H144" s="200">
        <f t="shared" si="41"/>
        <v>212951.4</v>
      </c>
      <c r="I144" s="200">
        <f t="shared" si="41"/>
        <v>212951.4</v>
      </c>
      <c r="J144" s="200">
        <f t="shared" si="41"/>
        <v>243371.4</v>
      </c>
      <c r="K144" s="200">
        <f t="shared" si="41"/>
        <v>243371.4</v>
      </c>
      <c r="L144" s="200">
        <f t="shared" si="41"/>
        <v>243371.4</v>
      </c>
      <c r="M144" s="200">
        <f t="shared" si="41"/>
        <v>273791.40000000002</v>
      </c>
      <c r="N144" s="200">
        <f t="shared" si="41"/>
        <v>273791.40000000002</v>
      </c>
      <c r="O144" s="200">
        <f t="shared" si="41"/>
        <v>158588.60999999999</v>
      </c>
      <c r="P144" s="200">
        <f t="shared" si="41"/>
        <v>158588.60999999999</v>
      </c>
      <c r="Q144" s="200">
        <f t="shared" si="41"/>
        <v>185438.61</v>
      </c>
      <c r="R144" s="200">
        <f t="shared" si="41"/>
        <v>185438.61</v>
      </c>
      <c r="S144" s="200">
        <f t="shared" si="41"/>
        <v>185438.61</v>
      </c>
      <c r="T144" s="200">
        <f t="shared" si="41"/>
        <v>185438.61</v>
      </c>
      <c r="U144" s="200">
        <f>SUM(C144:T144)</f>
        <v>3544194.6599999988</v>
      </c>
    </row>
    <row r="145" spans="1:21" ht="14.25" customHeight="1" x14ac:dyDescent="0.3">
      <c r="A145" s="183"/>
      <c r="B145" s="199" t="s">
        <v>323</v>
      </c>
      <c r="C145" s="200">
        <f>C144</f>
        <v>0</v>
      </c>
      <c r="D145" s="200">
        <f>C144+D144</f>
        <v>0</v>
      </c>
      <c r="E145" s="200">
        <f>D145+E144</f>
        <v>0</v>
      </c>
      <c r="F145" s="200">
        <f t="shared" ref="F145:T145" si="42">E145+F144</f>
        <v>615511.80000000005</v>
      </c>
      <c r="G145" s="200">
        <f t="shared" si="42"/>
        <v>781663.20000000007</v>
      </c>
      <c r="H145" s="200">
        <f t="shared" si="42"/>
        <v>994614.60000000009</v>
      </c>
      <c r="I145" s="200">
        <f t="shared" si="42"/>
        <v>1207566</v>
      </c>
      <c r="J145" s="200">
        <f t="shared" si="42"/>
        <v>1450937.4</v>
      </c>
      <c r="K145" s="200">
        <f t="shared" si="42"/>
        <v>1694308.7999999998</v>
      </c>
      <c r="L145" s="200">
        <f t="shared" si="42"/>
        <v>1937680.1999999997</v>
      </c>
      <c r="M145" s="200">
        <f t="shared" si="42"/>
        <v>2211471.5999999996</v>
      </c>
      <c r="N145" s="200">
        <f t="shared" si="42"/>
        <v>2485262.9999999995</v>
      </c>
      <c r="O145" s="200">
        <f t="shared" si="42"/>
        <v>2643851.6099999994</v>
      </c>
      <c r="P145" s="200">
        <f t="shared" si="42"/>
        <v>2802440.2199999993</v>
      </c>
      <c r="Q145" s="200">
        <f t="shared" si="42"/>
        <v>2987878.8299999991</v>
      </c>
      <c r="R145" s="200">
        <f t="shared" si="42"/>
        <v>3173317.439999999</v>
      </c>
      <c r="S145" s="200">
        <f t="shared" si="42"/>
        <v>3358756.0499999989</v>
      </c>
      <c r="T145" s="200">
        <f t="shared" si="42"/>
        <v>3544194.6599999988</v>
      </c>
      <c r="U145" s="201"/>
    </row>
    <row r="146" spans="1:21" ht="14.25" customHeight="1" x14ac:dyDescent="0.25">
      <c r="A146" s="202"/>
      <c r="B146" s="203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5"/>
    </row>
    <row r="147" spans="1:21" ht="14.25" customHeight="1" x14ac:dyDescent="0.3">
      <c r="A147" s="206" t="s">
        <v>316</v>
      </c>
      <c r="B147" s="207" t="s">
        <v>324</v>
      </c>
      <c r="C147" s="208" t="s">
        <v>318</v>
      </c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9"/>
    </row>
    <row r="148" spans="1:21" ht="14.25" customHeight="1" thickBot="1" x14ac:dyDescent="0.35">
      <c r="A148" s="206"/>
      <c r="B148" s="210"/>
      <c r="C148" s="211">
        <v>1</v>
      </c>
      <c r="D148" s="211">
        <v>2</v>
      </c>
      <c r="E148" s="211">
        <v>3</v>
      </c>
      <c r="F148" s="211">
        <v>4</v>
      </c>
      <c r="G148" s="211">
        <v>5</v>
      </c>
      <c r="H148" s="211">
        <v>6</v>
      </c>
      <c r="I148" s="211">
        <v>7</v>
      </c>
      <c r="J148" s="211">
        <v>8</v>
      </c>
      <c r="K148" s="211">
        <v>9</v>
      </c>
      <c r="L148" s="211">
        <v>10</v>
      </c>
      <c r="M148" s="211">
        <v>11</v>
      </c>
      <c r="N148" s="211">
        <v>12</v>
      </c>
      <c r="O148" s="211">
        <v>13</v>
      </c>
      <c r="P148" s="211">
        <v>14</v>
      </c>
      <c r="Q148" s="211">
        <v>15</v>
      </c>
      <c r="R148" s="211">
        <v>16</v>
      </c>
      <c r="S148" s="211">
        <v>17</v>
      </c>
      <c r="T148" s="211">
        <v>18</v>
      </c>
      <c r="U148" s="212" t="s">
        <v>319</v>
      </c>
    </row>
    <row r="149" spans="1:21" ht="14.25" customHeight="1" thickBot="1" x14ac:dyDescent="0.3">
      <c r="A149" s="213">
        <v>1</v>
      </c>
      <c r="B149" s="214" t="s">
        <v>325</v>
      </c>
      <c r="C149" s="215">
        <v>0</v>
      </c>
      <c r="D149" s="216">
        <v>0</v>
      </c>
      <c r="E149" s="216">
        <v>0</v>
      </c>
      <c r="F149" s="89">
        <v>690000</v>
      </c>
      <c r="G149" s="89">
        <v>175500</v>
      </c>
      <c r="H149" s="89">
        <v>234000</v>
      </c>
      <c r="I149" s="89">
        <v>234000</v>
      </c>
      <c r="J149" s="89">
        <v>351000</v>
      </c>
      <c r="K149" s="89">
        <v>351000</v>
      </c>
      <c r="L149" s="89">
        <v>351000</v>
      </c>
      <c r="M149" s="89">
        <v>468000</v>
      </c>
      <c r="N149" s="89">
        <v>468000</v>
      </c>
      <c r="O149" s="217">
        <v>180000</v>
      </c>
      <c r="P149" s="218">
        <v>180000</v>
      </c>
      <c r="Q149" s="218">
        <v>240000</v>
      </c>
      <c r="R149" s="218">
        <v>240000</v>
      </c>
      <c r="S149" s="218">
        <v>240000</v>
      </c>
      <c r="T149" s="218">
        <v>240000</v>
      </c>
      <c r="U149" s="219">
        <f t="shared" ref="U149:U155" si="43">SUM(C149:T149)</f>
        <v>4642500</v>
      </c>
    </row>
    <row r="150" spans="1:21" ht="14.25" customHeight="1" x14ac:dyDescent="0.25">
      <c r="A150" s="213">
        <v>2</v>
      </c>
      <c r="B150" s="214" t="s">
        <v>326</v>
      </c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19">
        <f t="shared" si="43"/>
        <v>0</v>
      </c>
    </row>
    <row r="151" spans="1:21" ht="14.25" customHeight="1" x14ac:dyDescent="0.25">
      <c r="A151" s="213">
        <v>3</v>
      </c>
      <c r="B151" s="214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19">
        <f t="shared" si="43"/>
        <v>0</v>
      </c>
    </row>
    <row r="152" spans="1:21" ht="14.25" customHeight="1" x14ac:dyDescent="0.25">
      <c r="A152" s="213">
        <v>4</v>
      </c>
      <c r="B152" s="214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19">
        <f t="shared" si="43"/>
        <v>0</v>
      </c>
    </row>
    <row r="153" spans="1:21" ht="14.25" customHeight="1" x14ac:dyDescent="0.25">
      <c r="A153" s="213">
        <v>5</v>
      </c>
      <c r="B153" s="214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19">
        <f t="shared" si="43"/>
        <v>0</v>
      </c>
    </row>
    <row r="154" spans="1:21" ht="14.25" customHeight="1" x14ac:dyDescent="0.25">
      <c r="A154" s="213"/>
      <c r="B154" s="214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19">
        <f t="shared" si="43"/>
        <v>0</v>
      </c>
    </row>
    <row r="155" spans="1:21" ht="14.25" customHeight="1" x14ac:dyDescent="0.3">
      <c r="A155" s="212"/>
      <c r="B155" s="221" t="s">
        <v>322</v>
      </c>
      <c r="C155" s="222">
        <f>SUM(C149:C154)</f>
        <v>0</v>
      </c>
      <c r="D155" s="222">
        <f t="shared" ref="D155:M155" si="44">SUM(D149:D154)</f>
        <v>0</v>
      </c>
      <c r="E155" s="222">
        <f t="shared" si="44"/>
        <v>0</v>
      </c>
      <c r="F155" s="222">
        <f t="shared" si="44"/>
        <v>690000</v>
      </c>
      <c r="G155" s="222">
        <f t="shared" si="44"/>
        <v>175500</v>
      </c>
      <c r="H155" s="222">
        <f t="shared" si="44"/>
        <v>234000</v>
      </c>
      <c r="I155" s="222">
        <f t="shared" si="44"/>
        <v>234000</v>
      </c>
      <c r="J155" s="222">
        <f t="shared" si="44"/>
        <v>351000</v>
      </c>
      <c r="K155" s="222">
        <f t="shared" si="44"/>
        <v>351000</v>
      </c>
      <c r="L155" s="222">
        <f t="shared" si="44"/>
        <v>351000</v>
      </c>
      <c r="M155" s="222">
        <f t="shared" si="44"/>
        <v>468000</v>
      </c>
      <c r="N155" s="222">
        <f>SUM(N149:N154)</f>
        <v>468000</v>
      </c>
      <c r="O155" s="222">
        <f t="shared" ref="O155:T155" si="45">SUM(O149:O154)</f>
        <v>180000</v>
      </c>
      <c r="P155" s="222">
        <f t="shared" si="45"/>
        <v>180000</v>
      </c>
      <c r="Q155" s="222">
        <f t="shared" si="45"/>
        <v>240000</v>
      </c>
      <c r="R155" s="222">
        <f t="shared" si="45"/>
        <v>240000</v>
      </c>
      <c r="S155" s="222">
        <f t="shared" si="45"/>
        <v>240000</v>
      </c>
      <c r="T155" s="222">
        <f t="shared" si="45"/>
        <v>240000</v>
      </c>
      <c r="U155" s="222">
        <f t="shared" si="43"/>
        <v>4642500</v>
      </c>
    </row>
    <row r="156" spans="1:21" ht="14.25" customHeight="1" x14ac:dyDescent="0.3">
      <c r="A156" s="209"/>
      <c r="B156" s="221" t="s">
        <v>327</v>
      </c>
      <c r="C156" s="223">
        <f>C155</f>
        <v>0</v>
      </c>
      <c r="D156" s="222">
        <f>C156+D155</f>
        <v>0</v>
      </c>
      <c r="E156" s="222">
        <f>D156+E155</f>
        <v>0</v>
      </c>
      <c r="F156" s="222">
        <f>E156+F155</f>
        <v>690000</v>
      </c>
      <c r="G156" s="222">
        <f>F156+G155</f>
        <v>865500</v>
      </c>
      <c r="H156" s="222">
        <f t="shared" ref="H156:T156" si="46">G156+H155</f>
        <v>1099500</v>
      </c>
      <c r="I156" s="222">
        <f t="shared" si="46"/>
        <v>1333500</v>
      </c>
      <c r="J156" s="222">
        <f t="shared" si="46"/>
        <v>1684500</v>
      </c>
      <c r="K156" s="222">
        <f t="shared" si="46"/>
        <v>2035500</v>
      </c>
      <c r="L156" s="222">
        <f t="shared" si="46"/>
        <v>2386500</v>
      </c>
      <c r="M156" s="222">
        <f t="shared" si="46"/>
        <v>2854500</v>
      </c>
      <c r="N156" s="222">
        <f t="shared" si="46"/>
        <v>3322500</v>
      </c>
      <c r="O156" s="222">
        <f t="shared" si="46"/>
        <v>3502500</v>
      </c>
      <c r="P156" s="222">
        <f t="shared" si="46"/>
        <v>3682500</v>
      </c>
      <c r="Q156" s="222">
        <f t="shared" si="46"/>
        <v>3922500</v>
      </c>
      <c r="R156" s="222">
        <f t="shared" si="46"/>
        <v>4162500</v>
      </c>
      <c r="S156" s="222">
        <f t="shared" si="46"/>
        <v>4402500</v>
      </c>
      <c r="T156" s="222">
        <f t="shared" si="46"/>
        <v>4642500</v>
      </c>
      <c r="U156" s="224"/>
    </row>
    <row r="157" spans="1:21" ht="14.25" customHeight="1" x14ac:dyDescent="0.25">
      <c r="A157" s="205"/>
      <c r="B157" s="225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05"/>
    </row>
    <row r="158" spans="1:21" ht="14.25" customHeight="1" x14ac:dyDescent="0.3">
      <c r="A158" s="227"/>
      <c r="B158" s="228" t="s">
        <v>328</v>
      </c>
      <c r="C158" s="229">
        <f t="shared" ref="C158:T158" si="47">C156-C145</f>
        <v>0</v>
      </c>
      <c r="D158" s="229">
        <f t="shared" si="47"/>
        <v>0</v>
      </c>
      <c r="E158" s="229">
        <f t="shared" si="47"/>
        <v>0</v>
      </c>
      <c r="F158" s="229">
        <f t="shared" si="47"/>
        <v>74488.199999999953</v>
      </c>
      <c r="G158" s="229">
        <f t="shared" si="47"/>
        <v>83836.79999999993</v>
      </c>
      <c r="H158" s="229">
        <f t="shared" si="47"/>
        <v>104885.39999999991</v>
      </c>
      <c r="I158" s="229">
        <f t="shared" si="47"/>
        <v>125934</v>
      </c>
      <c r="J158" s="229">
        <f t="shared" si="47"/>
        <v>233562.60000000009</v>
      </c>
      <c r="K158" s="229">
        <f t="shared" si="47"/>
        <v>341191.20000000019</v>
      </c>
      <c r="L158" s="229">
        <f t="shared" si="47"/>
        <v>448819.80000000028</v>
      </c>
      <c r="M158" s="229">
        <f t="shared" si="47"/>
        <v>643028.40000000037</v>
      </c>
      <c r="N158" s="229">
        <f t="shared" si="47"/>
        <v>837237.00000000047</v>
      </c>
      <c r="O158" s="229">
        <f t="shared" si="47"/>
        <v>858648.3900000006</v>
      </c>
      <c r="P158" s="229">
        <f t="shared" si="47"/>
        <v>880059.78000000073</v>
      </c>
      <c r="Q158" s="229">
        <f t="shared" si="47"/>
        <v>934621.17000000086</v>
      </c>
      <c r="R158" s="229">
        <f t="shared" si="47"/>
        <v>989182.56000000099</v>
      </c>
      <c r="S158" s="229">
        <f t="shared" si="47"/>
        <v>1043743.9500000011</v>
      </c>
      <c r="T158" s="229">
        <f t="shared" si="47"/>
        <v>1098305.3400000012</v>
      </c>
      <c r="U158" s="230"/>
    </row>
    <row r="159" spans="1:21" ht="14.25" customHeight="1" x14ac:dyDescent="0.3">
      <c r="A159" s="231"/>
      <c r="B159" s="232"/>
      <c r="C159" s="233" t="str">
        <f t="shared" ref="C159:J159" si="48">IF(B158&lt;0,IF(C158&gt;0, "Ура! Мы вышли в прибыль!",""),"")</f>
        <v/>
      </c>
      <c r="D159" s="233" t="str">
        <f t="shared" si="48"/>
        <v/>
      </c>
      <c r="E159" s="233" t="str">
        <f t="shared" si="48"/>
        <v/>
      </c>
      <c r="F159" s="233" t="str">
        <f t="shared" si="48"/>
        <v/>
      </c>
      <c r="G159" s="233" t="str">
        <f t="shared" si="48"/>
        <v/>
      </c>
      <c r="H159" s="233" t="str">
        <f t="shared" si="48"/>
        <v/>
      </c>
      <c r="I159" s="233" t="str">
        <f t="shared" si="48"/>
        <v/>
      </c>
      <c r="J159" s="233" t="str">
        <f t="shared" si="48"/>
        <v/>
      </c>
      <c r="K159" s="233" t="str">
        <f>IF(J158&lt;0,IF(K158&gt;0, "Ура! Мы вышли в прибыль!",""),"")</f>
        <v/>
      </c>
      <c r="L159" s="233" t="str">
        <f>IF(K158&lt;0,IF(L158&gt;0, "Ура! Мы вышли в прибыль!",""),"")</f>
        <v/>
      </c>
      <c r="M159" s="234" t="str">
        <f>IF(L158&lt;0,IF(M158&gt;0, "Точка окупаемости достигнута",""),"")</f>
        <v/>
      </c>
      <c r="N159" s="234" t="str">
        <f>IF(M158&lt;0,IF(N158&gt;0, "Точка окупаемости достигнута!",""),"")</f>
        <v/>
      </c>
      <c r="O159" s="233" t="str">
        <f t="shared" ref="O159:T159" si="49">IF(N158&lt;0,IF(O158&gt;0, "Ура! Мы вышли в прибыль!",""),"")</f>
        <v/>
      </c>
      <c r="P159" s="233" t="str">
        <f t="shared" si="49"/>
        <v/>
      </c>
      <c r="Q159" s="233" t="str">
        <f t="shared" si="49"/>
        <v/>
      </c>
      <c r="R159" s="233" t="str">
        <f t="shared" si="49"/>
        <v/>
      </c>
      <c r="S159" s="233" t="str">
        <f t="shared" si="49"/>
        <v/>
      </c>
      <c r="T159" s="233" t="str">
        <f t="shared" si="49"/>
        <v/>
      </c>
      <c r="U159" s="235"/>
    </row>
    <row r="160" spans="1:21" ht="14.25" customHeight="1" x14ac:dyDescent="0.3">
      <c r="B160" s="1"/>
    </row>
    <row r="161" spans="2:2" ht="14.25" customHeight="1" x14ac:dyDescent="0.3">
      <c r="B161" s="1"/>
    </row>
    <row r="162" spans="2:2" ht="14.25" customHeight="1" x14ac:dyDescent="0.3">
      <c r="B162" s="1"/>
    </row>
    <row r="163" spans="2:2" ht="14.25" customHeight="1" x14ac:dyDescent="0.3">
      <c r="B163" s="1"/>
    </row>
    <row r="164" spans="2:2" ht="14.25" customHeight="1" x14ac:dyDescent="0.3">
      <c r="B164" s="1"/>
    </row>
    <row r="165" spans="2:2" ht="14.25" customHeight="1" x14ac:dyDescent="0.3">
      <c r="B165" s="1"/>
    </row>
    <row r="166" spans="2:2" ht="14.25" customHeight="1" x14ac:dyDescent="0.3">
      <c r="B166" s="1"/>
    </row>
    <row r="167" spans="2:2" ht="14.25" customHeight="1" x14ac:dyDescent="0.3">
      <c r="B167" s="1"/>
    </row>
    <row r="168" spans="2:2" ht="14.25" customHeight="1" x14ac:dyDescent="0.3">
      <c r="B168" s="1"/>
    </row>
    <row r="169" spans="2:2" ht="14.25" customHeight="1" x14ac:dyDescent="0.3">
      <c r="B169" s="1"/>
    </row>
    <row r="170" spans="2:2" ht="14.25" customHeight="1" x14ac:dyDescent="0.3">
      <c r="B170" s="1"/>
    </row>
    <row r="171" spans="2:2" ht="14.25" customHeight="1" x14ac:dyDescent="0.3">
      <c r="B171" s="1"/>
    </row>
    <row r="172" spans="2:2" ht="14.25" customHeight="1" x14ac:dyDescent="0.3">
      <c r="B172" s="1"/>
    </row>
    <row r="173" spans="2:2" ht="14.25" customHeight="1" x14ac:dyDescent="0.3">
      <c r="B173" s="1"/>
    </row>
    <row r="174" spans="2:2" ht="14.25" customHeight="1" x14ac:dyDescent="0.3">
      <c r="B174" s="1"/>
    </row>
    <row r="175" spans="2:2" ht="14.25" customHeight="1" x14ac:dyDescent="0.3">
      <c r="B175" s="1"/>
    </row>
    <row r="176" spans="2:2" ht="14.25" customHeight="1" x14ac:dyDescent="0.3">
      <c r="B176" s="1"/>
    </row>
    <row r="177" spans="2:2" ht="14.25" customHeight="1" x14ac:dyDescent="0.3">
      <c r="B177" s="1"/>
    </row>
    <row r="178" spans="2:2" ht="14.25" customHeight="1" x14ac:dyDescent="0.3">
      <c r="B178" s="1"/>
    </row>
    <row r="179" spans="2:2" ht="14.25" customHeight="1" x14ac:dyDescent="0.3">
      <c r="B179" s="1"/>
    </row>
    <row r="180" spans="2:2" ht="14.25" customHeight="1" x14ac:dyDescent="0.3">
      <c r="B180" s="1"/>
    </row>
    <row r="181" spans="2:2" ht="14.25" customHeight="1" x14ac:dyDescent="0.3">
      <c r="B181" s="1"/>
    </row>
    <row r="182" spans="2:2" ht="14.25" customHeight="1" x14ac:dyDescent="0.3">
      <c r="B182" s="1"/>
    </row>
    <row r="183" spans="2:2" ht="14.25" customHeight="1" x14ac:dyDescent="0.3">
      <c r="B183" s="1"/>
    </row>
    <row r="184" spans="2:2" ht="14.25" customHeight="1" x14ac:dyDescent="0.3">
      <c r="B184" s="1"/>
    </row>
    <row r="185" spans="2:2" ht="14.25" customHeight="1" x14ac:dyDescent="0.3">
      <c r="B185" s="1"/>
    </row>
    <row r="186" spans="2:2" ht="14.25" customHeight="1" x14ac:dyDescent="0.3">
      <c r="B186" s="1"/>
    </row>
    <row r="187" spans="2:2" ht="14.25" customHeight="1" x14ac:dyDescent="0.3">
      <c r="B187" s="1"/>
    </row>
    <row r="188" spans="2:2" ht="14.25" customHeight="1" x14ac:dyDescent="0.3">
      <c r="B188" s="1"/>
    </row>
    <row r="189" spans="2:2" ht="14.25" customHeight="1" x14ac:dyDescent="0.3">
      <c r="B189" s="1"/>
    </row>
    <row r="190" spans="2:2" ht="14.25" customHeight="1" x14ac:dyDescent="0.3">
      <c r="B190" s="1"/>
    </row>
    <row r="191" spans="2:2" ht="14.25" customHeight="1" x14ac:dyDescent="0.3">
      <c r="B191" s="1"/>
    </row>
    <row r="192" spans="2:2" ht="14.25" customHeight="1" x14ac:dyDescent="0.3">
      <c r="B192" s="1"/>
    </row>
    <row r="193" spans="1:7" ht="14.25" customHeight="1" x14ac:dyDescent="0.3">
      <c r="B193" s="1"/>
    </row>
    <row r="194" spans="1:7" ht="14.25" customHeight="1" x14ac:dyDescent="0.3">
      <c r="B194" s="1"/>
    </row>
    <row r="195" spans="1:7" ht="14.25" customHeight="1" x14ac:dyDescent="0.3">
      <c r="B195" s="1"/>
    </row>
    <row r="196" spans="1:7" ht="14.25" customHeight="1" x14ac:dyDescent="0.3">
      <c r="B196" s="1"/>
    </row>
    <row r="197" spans="1:7" ht="14.25" customHeight="1" thickBot="1" x14ac:dyDescent="0.3">
      <c r="A197" s="90" t="s">
        <v>329</v>
      </c>
      <c r="B197" s="89"/>
      <c r="C197" s="89"/>
      <c r="D197" s="89"/>
      <c r="E197" s="89"/>
      <c r="F197" s="89"/>
      <c r="G197" s="89"/>
    </row>
    <row r="198" spans="1:7" ht="14.25" customHeight="1" thickBot="1" x14ac:dyDescent="0.3">
      <c r="A198" s="67" t="s">
        <v>308</v>
      </c>
      <c r="B198" s="92" t="s">
        <v>108</v>
      </c>
      <c r="C198" s="92" t="s">
        <v>330</v>
      </c>
      <c r="D198" s="92" t="s">
        <v>64</v>
      </c>
      <c r="E198" s="92" t="s">
        <v>65</v>
      </c>
      <c r="F198" s="89"/>
      <c r="G198" s="89"/>
    </row>
    <row r="199" spans="1:7" ht="14.25" customHeight="1" thickBot="1" x14ac:dyDescent="0.3">
      <c r="A199" s="69" t="s">
        <v>331</v>
      </c>
      <c r="B199" s="95">
        <f>'БДР + эффективность'!B86</f>
        <v>585000</v>
      </c>
      <c r="C199" s="95" t="s">
        <v>108</v>
      </c>
      <c r="D199" s="95" t="s">
        <v>108</v>
      </c>
      <c r="E199" s="95" t="s">
        <v>108</v>
      </c>
      <c r="F199" s="89"/>
      <c r="G199" s="89"/>
    </row>
    <row r="200" spans="1:7" ht="14.25" customHeight="1" thickBot="1" x14ac:dyDescent="0.3">
      <c r="A200" s="69" t="s">
        <v>332</v>
      </c>
      <c r="B200" s="95">
        <f>(-1)*C67</f>
        <v>-138000</v>
      </c>
      <c r="C200" s="236">
        <f>(-1)*'План продаж'!F33</f>
        <v>-2632500</v>
      </c>
      <c r="D200" s="236">
        <f>(-1)*'План продаж'!G33</f>
        <v>-9009000</v>
      </c>
      <c r="E200" s="236">
        <f>(-1)*'План продаж'!H33</f>
        <v>-9828000</v>
      </c>
      <c r="F200" s="89"/>
      <c r="G200" s="89"/>
    </row>
    <row r="201" spans="1:7" ht="14.25" customHeight="1" x14ac:dyDescent="0.25">
      <c r="A201" s="237" t="s">
        <v>333</v>
      </c>
      <c r="B201" s="238">
        <v>23</v>
      </c>
      <c r="C201" s="238" t="s">
        <v>108</v>
      </c>
      <c r="D201" s="238" t="s">
        <v>108</v>
      </c>
      <c r="E201" s="238" t="s">
        <v>108</v>
      </c>
      <c r="F201" s="89"/>
      <c r="G201" s="89"/>
    </row>
    <row r="202" spans="1:7" ht="14.25" customHeight="1" x14ac:dyDescent="0.25">
      <c r="A202" s="237" t="s">
        <v>334</v>
      </c>
      <c r="B202" s="239"/>
      <c r="C202" s="239"/>
      <c r="D202" s="239"/>
      <c r="E202" s="239"/>
      <c r="F202" s="89"/>
      <c r="G202" s="89"/>
    </row>
    <row r="203" spans="1:7" ht="14.25" customHeight="1" x14ac:dyDescent="0.25">
      <c r="A203" s="237" t="s">
        <v>335</v>
      </c>
      <c r="B203" s="239"/>
      <c r="C203" s="239"/>
      <c r="D203" s="239"/>
      <c r="E203" s="239"/>
      <c r="F203" s="89"/>
      <c r="G203" s="89"/>
    </row>
    <row r="204" spans="1:7" ht="14.25" customHeight="1" x14ac:dyDescent="0.25">
      <c r="A204" s="237" t="s">
        <v>336</v>
      </c>
      <c r="B204" s="239"/>
      <c r="C204" s="239"/>
      <c r="D204" s="239"/>
      <c r="E204" s="239"/>
      <c r="F204" s="89"/>
      <c r="G204" s="89"/>
    </row>
    <row r="205" spans="1:7" ht="14.25" customHeight="1" x14ac:dyDescent="0.25">
      <c r="A205" s="237" t="s">
        <v>337</v>
      </c>
      <c r="B205" s="239"/>
      <c r="C205" s="239"/>
      <c r="D205" s="239"/>
      <c r="E205" s="239"/>
      <c r="F205" s="89"/>
      <c r="G205" s="89"/>
    </row>
    <row r="206" spans="1:7" ht="14.25" customHeight="1" x14ac:dyDescent="0.25">
      <c r="A206" s="237" t="s">
        <v>338</v>
      </c>
      <c r="B206" s="239"/>
      <c r="C206" s="239"/>
      <c r="D206" s="239"/>
      <c r="E206" s="239"/>
      <c r="F206" s="89"/>
      <c r="G206" s="89"/>
    </row>
    <row r="207" spans="1:7" ht="14.25" customHeight="1" thickBot="1" x14ac:dyDescent="0.3">
      <c r="A207" s="69" t="s">
        <v>355</v>
      </c>
      <c r="B207" s="240"/>
      <c r="C207" s="240"/>
      <c r="D207" s="240"/>
      <c r="E207" s="240"/>
      <c r="F207" s="89"/>
      <c r="G207" s="89"/>
    </row>
    <row r="208" spans="1:7" ht="14.25" customHeight="1" thickBot="1" x14ac:dyDescent="0.3">
      <c r="A208" s="69" t="s">
        <v>339</v>
      </c>
      <c r="B208" s="241" t="str">
        <f>D213</f>
        <v>NPV = 12824440</v>
      </c>
      <c r="C208" s="95" t="s">
        <v>108</v>
      </c>
      <c r="D208" s="95" t="s">
        <v>108</v>
      </c>
      <c r="E208" s="95" t="s">
        <v>108</v>
      </c>
      <c r="F208" s="89"/>
      <c r="G208" s="89"/>
    </row>
    <row r="209" spans="1:10" ht="14.25" customHeight="1" thickBot="1" x14ac:dyDescent="0.3">
      <c r="A209" s="69" t="s">
        <v>340</v>
      </c>
      <c r="B209" s="95">
        <f>D222</f>
        <v>3.3268840579710144</v>
      </c>
      <c r="C209" s="95" t="s">
        <v>108</v>
      </c>
      <c r="D209" s="95" t="s">
        <v>108</v>
      </c>
      <c r="E209" s="95" t="s">
        <v>108</v>
      </c>
      <c r="F209" s="89"/>
      <c r="G209" s="89"/>
    </row>
    <row r="210" spans="1:10" ht="14.25" customHeight="1" thickBot="1" x14ac:dyDescent="0.3">
      <c r="A210" s="99" t="s">
        <v>341</v>
      </c>
      <c r="B210" s="242">
        <f>B219</f>
        <v>6.3278132866185359</v>
      </c>
      <c r="C210" s="95" t="s">
        <v>108</v>
      </c>
      <c r="D210" s="95" t="s">
        <v>108</v>
      </c>
      <c r="E210" s="95" t="s">
        <v>108</v>
      </c>
      <c r="F210" s="89"/>
      <c r="G210" s="89"/>
    </row>
    <row r="211" spans="1:10" ht="14.25" customHeight="1" x14ac:dyDescent="0.25">
      <c r="A211" s="89"/>
      <c r="B211" s="89"/>
      <c r="C211" s="89"/>
      <c r="D211" s="89"/>
      <c r="E211" s="89"/>
      <c r="F211" s="89"/>
      <c r="G211" s="89"/>
    </row>
    <row r="212" spans="1:10" ht="14.25" customHeight="1" x14ac:dyDescent="0.25">
      <c r="A212" s="89"/>
      <c r="B212" s="89"/>
      <c r="C212" s="89"/>
      <c r="D212" s="89"/>
      <c r="E212" s="89"/>
      <c r="F212" s="89"/>
      <c r="G212" s="89"/>
      <c r="H212" s="89"/>
    </row>
    <row r="213" spans="1:10" ht="14.25" customHeight="1" thickBot="1" x14ac:dyDescent="0.3">
      <c r="A213" s="89"/>
      <c r="B213" s="89"/>
      <c r="C213" s="89"/>
      <c r="D213" s="252" t="s">
        <v>352</v>
      </c>
      <c r="E213" s="89"/>
      <c r="F213" s="89"/>
      <c r="G213" s="89"/>
      <c r="H213" s="89"/>
    </row>
    <row r="214" spans="1:10" ht="97.2" thickBot="1" x14ac:dyDescent="0.3">
      <c r="A214" s="89"/>
      <c r="B214" s="243" t="s">
        <v>103</v>
      </c>
      <c r="C214" s="89"/>
      <c r="D214" s="244" t="s">
        <v>342</v>
      </c>
      <c r="E214" s="245" t="s">
        <v>343</v>
      </c>
      <c r="F214" s="245" t="s">
        <v>344</v>
      </c>
      <c r="G214" s="245" t="s">
        <v>345</v>
      </c>
      <c r="H214" s="245" t="s">
        <v>346</v>
      </c>
    </row>
    <row r="215" spans="1:10" ht="14.25" customHeight="1" thickBot="1" x14ac:dyDescent="0.3">
      <c r="A215" s="89"/>
      <c r="B215" s="243">
        <v>-552000</v>
      </c>
      <c r="C215" s="89"/>
      <c r="D215" s="246">
        <v>0</v>
      </c>
      <c r="E215" s="247">
        <v>-552000</v>
      </c>
      <c r="F215" s="251" t="s">
        <v>108</v>
      </c>
      <c r="G215" s="247">
        <v>-552000</v>
      </c>
      <c r="H215" s="247">
        <v>-552000</v>
      </c>
      <c r="J215">
        <f>2140243 - 552000</f>
        <v>1588243</v>
      </c>
    </row>
    <row r="216" spans="1:10" ht="30.6" thickBot="1" x14ac:dyDescent="0.3">
      <c r="A216" s="89"/>
      <c r="B216" s="243">
        <v>2632500</v>
      </c>
      <c r="C216" s="89"/>
      <c r="D216" s="246">
        <v>1</v>
      </c>
      <c r="E216" s="247" t="s">
        <v>108</v>
      </c>
      <c r="F216" s="247">
        <f>E46</f>
        <v>2632500</v>
      </c>
      <c r="G216" s="251" t="s">
        <v>347</v>
      </c>
      <c r="H216" s="251" t="s">
        <v>350</v>
      </c>
    </row>
    <row r="217" spans="1:10" ht="30.6" thickBot="1" x14ac:dyDescent="0.3">
      <c r="A217" s="89"/>
      <c r="B217" s="243">
        <f>F46</f>
        <v>9009000</v>
      </c>
      <c r="C217" s="89"/>
      <c r="D217" s="246">
        <v>2</v>
      </c>
      <c r="E217" s="247" t="s">
        <v>108</v>
      </c>
      <c r="F217" s="247">
        <f>B217</f>
        <v>9009000</v>
      </c>
      <c r="G217" s="251" t="s">
        <v>348</v>
      </c>
      <c r="H217" s="251" t="s">
        <v>356</v>
      </c>
      <c r="J217">
        <f>2140243+5954788 - 552000</f>
        <v>7543031</v>
      </c>
    </row>
    <row r="218" spans="1:10" ht="55.8" thickBot="1" x14ac:dyDescent="0.3">
      <c r="A218" s="89"/>
      <c r="B218" s="243">
        <f>G46</f>
        <v>9828000</v>
      </c>
      <c r="C218" s="89"/>
      <c r="D218" s="246">
        <v>3</v>
      </c>
      <c r="E218" s="247" t="s">
        <v>108</v>
      </c>
      <c r="F218" s="247">
        <f>B218</f>
        <v>9828000</v>
      </c>
      <c r="G218" s="251" t="s">
        <v>349</v>
      </c>
      <c r="H218" s="251" t="s">
        <v>351</v>
      </c>
      <c r="J218">
        <f>2140243+5954788+5281409  - 552000</f>
        <v>12824440</v>
      </c>
    </row>
    <row r="219" spans="1:10" ht="14.25" customHeight="1" x14ac:dyDescent="0.25">
      <c r="A219" s="89"/>
      <c r="B219" s="250">
        <f>IRR(B215:B218,0.23)</f>
        <v>6.3278132866185359</v>
      </c>
      <c r="C219" s="89"/>
      <c r="D219" s="89"/>
      <c r="E219" s="89"/>
      <c r="F219" s="89"/>
      <c r="G219" s="89"/>
      <c r="H219" s="89"/>
    </row>
    <row r="220" spans="1:10" ht="14.25" customHeight="1" x14ac:dyDescent="0.25">
      <c r="A220" s="89"/>
      <c r="B220" s="89"/>
      <c r="C220" s="89"/>
      <c r="D220" s="89"/>
      <c r="E220" s="89"/>
      <c r="F220" s="89"/>
      <c r="G220" s="89"/>
      <c r="H220" s="89"/>
    </row>
    <row r="221" spans="1:10" ht="14.25" customHeight="1" x14ac:dyDescent="0.25">
      <c r="A221" s="89"/>
      <c r="B221" s="89"/>
      <c r="C221" s="89"/>
      <c r="D221" s="89"/>
      <c r="E221" s="89"/>
      <c r="F221" s="89"/>
      <c r="G221" s="89"/>
      <c r="H221" s="89"/>
    </row>
    <row r="222" spans="1:10" ht="14.25" customHeight="1" x14ac:dyDescent="0.25">
      <c r="A222" s="89"/>
      <c r="B222" s="252" t="s">
        <v>353</v>
      </c>
      <c r="C222" s="89"/>
      <c r="D222" s="89">
        <f xml:space="preserve"> 1 + 1284440/552000</f>
        <v>3.3268840579710144</v>
      </c>
      <c r="E222" s="89"/>
      <c r="F222" s="89"/>
      <c r="G222" s="89"/>
      <c r="H222" s="89"/>
    </row>
    <row r="223" spans="1:10" ht="14.25" customHeight="1" x14ac:dyDescent="0.3">
      <c r="B223" s="1"/>
    </row>
    <row r="224" spans="1:10" ht="14.25" customHeight="1" x14ac:dyDescent="0.3">
      <c r="B224" s="1"/>
    </row>
    <row r="225" spans="2:2" ht="14.25" customHeight="1" x14ac:dyDescent="0.3">
      <c r="B225" s="1"/>
    </row>
    <row r="226" spans="2:2" ht="14.25" customHeight="1" x14ac:dyDescent="0.3">
      <c r="B226" s="1"/>
    </row>
    <row r="227" spans="2:2" ht="14.25" customHeight="1" x14ac:dyDescent="0.3">
      <c r="B227" s="1"/>
    </row>
    <row r="228" spans="2:2" ht="15.75" customHeight="1" x14ac:dyDescent="0.25"/>
    <row r="229" spans="2:2" ht="15.75" customHeight="1" x14ac:dyDescent="0.25"/>
    <row r="230" spans="2:2" ht="15.75" customHeight="1" x14ac:dyDescent="0.25"/>
    <row r="231" spans="2:2" ht="15.75" customHeight="1" x14ac:dyDescent="0.25"/>
    <row r="232" spans="2:2" ht="15.75" customHeight="1" x14ac:dyDescent="0.25"/>
    <row r="233" spans="2:2" ht="15.75" customHeight="1" x14ac:dyDescent="0.25"/>
    <row r="234" spans="2:2" ht="15.75" customHeight="1" x14ac:dyDescent="0.25"/>
    <row r="235" spans="2:2" ht="15.75" customHeight="1" x14ac:dyDescent="0.25"/>
    <row r="236" spans="2:2" ht="15.75" customHeight="1" x14ac:dyDescent="0.25"/>
    <row r="237" spans="2:2" ht="15.75" customHeight="1" x14ac:dyDescent="0.25"/>
    <row r="238" spans="2:2" ht="15.75" customHeight="1" x14ac:dyDescent="0.25"/>
    <row r="239" spans="2:2" ht="15.75" customHeight="1" x14ac:dyDescent="0.25"/>
    <row r="240" spans="2:2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</sheetData>
  <mergeCells count="20">
    <mergeCell ref="B201:B207"/>
    <mergeCell ref="C201:C207"/>
    <mergeCell ref="D201:D207"/>
    <mergeCell ref="E201:E207"/>
    <mergeCell ref="A128:A129"/>
    <mergeCell ref="B128:B129"/>
    <mergeCell ref="C128:T128"/>
    <mergeCell ref="A147:A148"/>
    <mergeCell ref="B147:B148"/>
    <mergeCell ref="C147:T147"/>
    <mergeCell ref="S2:V2"/>
    <mergeCell ref="A31:G31"/>
    <mergeCell ref="A32:A33"/>
    <mergeCell ref="B32:D32"/>
    <mergeCell ref="E32:G32"/>
    <mergeCell ref="A64:K64"/>
    <mergeCell ref="A84:M84"/>
    <mergeCell ref="A104:J104"/>
    <mergeCell ref="C2:N2"/>
    <mergeCell ref="O2:R2"/>
  </mergeCells>
  <hyperlinks>
    <hyperlink ref="B127" location="окупаемость!M58" tooltip="Перейти к графику" display="График"/>
  </hyperlink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Ресурсы</vt:lpstr>
      <vt:lpstr>Объем рынка</vt:lpstr>
      <vt:lpstr>Данные</vt:lpstr>
      <vt:lpstr>Бюджет инвестиций</vt:lpstr>
      <vt:lpstr>Расчет себестоимости</vt:lpstr>
      <vt:lpstr>План продаж</vt:lpstr>
      <vt:lpstr>БДР + эффективность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2022-04-21T17:54:23Z</dcterms:created>
  <dcterms:modified xsi:type="dcterms:W3CDTF">2022-04-22T11:41:37Z</dcterms:modified>
</cp:coreProperties>
</file>