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440" windowHeight="12510"/>
  </bookViews>
  <sheets>
    <sheet name="Лист 1 - Данные для расчета" sheetId="1" r:id="rId1"/>
    <sheet name="Лист 2 - Расчет инвестиционного" sheetId="2" r:id="rId2"/>
    <sheet name="Лист3 Доходы и расходы" sheetId="3" r:id="rId3"/>
    <sheet name="Лист4 Себестоимость" sheetId="4" r:id="rId4"/>
    <sheet name="Лист5 Факт " sheetId="5" r:id="rId5"/>
    <sheet name="Лист6 Фактический баланс" sheetId="6" r:id="rId6"/>
    <sheet name="Лист7 Прогнозный баланс " sheetId="7" r:id="rId7"/>
    <sheet name="Лист8" sheetId="8" r:id="rId8"/>
    <sheet name="Лист9" sheetId="9" r:id="rId9"/>
    <sheet name="Лист10 Показатели деятельности 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6" i="1"/>
  <c r="B15" i="1"/>
  <c r="B14" i="1"/>
  <c r="I16" i="1" l="1"/>
  <c r="M20" i="1"/>
  <c r="M19" i="1"/>
  <c r="M18" i="1"/>
  <c r="L20" i="1"/>
  <c r="L19" i="1"/>
  <c r="L18" i="1"/>
  <c r="G14" i="1"/>
  <c r="C28" i="10"/>
  <c r="C27" i="10"/>
  <c r="F27" i="10"/>
  <c r="E27" i="10"/>
  <c r="D27" i="10"/>
  <c r="C26" i="10"/>
  <c r="F18" i="10"/>
  <c r="L16" i="10"/>
  <c r="K16" i="10"/>
  <c r="J16" i="10"/>
  <c r="I16" i="10"/>
  <c r="H16" i="10"/>
  <c r="G16" i="10"/>
  <c r="F16" i="10"/>
  <c r="E16" i="10"/>
  <c r="L15" i="10"/>
  <c r="K15" i="10"/>
  <c r="J15" i="10"/>
  <c r="I15" i="10"/>
  <c r="H15" i="10"/>
  <c r="G15" i="10"/>
  <c r="F15" i="10"/>
  <c r="F11" i="10" s="1"/>
  <c r="E15" i="10"/>
  <c r="D15" i="10"/>
  <c r="D11" i="10"/>
  <c r="L10" i="10"/>
  <c r="L18" i="10" s="1"/>
  <c r="L11" i="10" s="1"/>
  <c r="K10" i="10"/>
  <c r="K18" i="10" s="1"/>
  <c r="J10" i="10"/>
  <c r="J18" i="10" s="1"/>
  <c r="J11" i="10" s="1"/>
  <c r="I10" i="10"/>
  <c r="I7" i="10" s="1"/>
  <c r="H10" i="10"/>
  <c r="H7" i="10" s="1"/>
  <c r="G10" i="10"/>
  <c r="G7" i="10" s="1"/>
  <c r="F10" i="10"/>
  <c r="E10" i="10"/>
  <c r="E18" i="10" s="1"/>
  <c r="D9" i="10"/>
  <c r="D8" i="10"/>
  <c r="L7" i="10"/>
  <c r="K7" i="10"/>
  <c r="J7" i="10"/>
  <c r="F7" i="10"/>
  <c r="E7" i="10"/>
  <c r="D7" i="10"/>
  <c r="D20" i="10" s="1"/>
  <c r="P36" i="8"/>
  <c r="P21" i="8"/>
  <c r="P7" i="8"/>
  <c r="P16" i="8"/>
  <c r="P30" i="8"/>
  <c r="P45" i="8"/>
  <c r="C47" i="8"/>
  <c r="D47" i="8"/>
  <c r="E47" i="8"/>
  <c r="F47" i="8"/>
  <c r="G47" i="8"/>
  <c r="H47" i="8"/>
  <c r="I47" i="8"/>
  <c r="J47" i="8"/>
  <c r="K47" i="8"/>
  <c r="L47" i="8"/>
  <c r="M47" i="8"/>
  <c r="B47" i="8"/>
  <c r="C46" i="8"/>
  <c r="D46" i="8"/>
  <c r="E46" i="8"/>
  <c r="F46" i="8"/>
  <c r="G46" i="8"/>
  <c r="H46" i="8"/>
  <c r="I46" i="8"/>
  <c r="J46" i="8"/>
  <c r="K46" i="8"/>
  <c r="L46" i="8"/>
  <c r="M46" i="8"/>
  <c r="B46" i="8"/>
  <c r="C32" i="8"/>
  <c r="D32" i="8"/>
  <c r="E32" i="8"/>
  <c r="F32" i="8"/>
  <c r="G32" i="8"/>
  <c r="H32" i="8"/>
  <c r="I32" i="8"/>
  <c r="J32" i="8"/>
  <c r="K32" i="8"/>
  <c r="L32" i="8"/>
  <c r="M32" i="8"/>
  <c r="B32" i="8"/>
  <c r="C31" i="8"/>
  <c r="D31" i="8"/>
  <c r="E31" i="8"/>
  <c r="F31" i="8"/>
  <c r="G31" i="8"/>
  <c r="H31" i="8"/>
  <c r="I31" i="8"/>
  <c r="J31" i="8"/>
  <c r="K31" i="8"/>
  <c r="L31" i="8"/>
  <c r="M31" i="8"/>
  <c r="B31" i="8"/>
  <c r="C17" i="8"/>
  <c r="D17" i="8"/>
  <c r="E17" i="8"/>
  <c r="F17" i="8"/>
  <c r="G17" i="8"/>
  <c r="H17" i="8"/>
  <c r="I17" i="8"/>
  <c r="J17" i="8"/>
  <c r="K17" i="8"/>
  <c r="L17" i="8"/>
  <c r="M17" i="8"/>
  <c r="B17" i="8"/>
  <c r="C45" i="8"/>
  <c r="D45" i="8"/>
  <c r="E45" i="8"/>
  <c r="F45" i="8"/>
  <c r="G45" i="8"/>
  <c r="H45" i="8"/>
  <c r="I45" i="8"/>
  <c r="J45" i="8"/>
  <c r="K45" i="8"/>
  <c r="L45" i="8"/>
  <c r="M45" i="8"/>
  <c r="B45" i="8"/>
  <c r="C44" i="8"/>
  <c r="D44" i="8"/>
  <c r="E44" i="8"/>
  <c r="F44" i="8"/>
  <c r="G44" i="8"/>
  <c r="H44" i="8"/>
  <c r="I44" i="8"/>
  <c r="J44" i="8"/>
  <c r="K44" i="8"/>
  <c r="L44" i="8"/>
  <c r="M44" i="8"/>
  <c r="B44" i="8"/>
  <c r="C43" i="8"/>
  <c r="D43" i="8"/>
  <c r="E43" i="8"/>
  <c r="F43" i="8"/>
  <c r="G43" i="8"/>
  <c r="H43" i="8"/>
  <c r="I43" i="8"/>
  <c r="J43" i="8"/>
  <c r="K43" i="8"/>
  <c r="L43" i="8"/>
  <c r="M43" i="8"/>
  <c r="B43" i="8"/>
  <c r="C42" i="8"/>
  <c r="D42" i="8"/>
  <c r="E42" i="8"/>
  <c r="F42" i="8"/>
  <c r="G42" i="8"/>
  <c r="H42" i="8"/>
  <c r="I42" i="8"/>
  <c r="J42" i="8"/>
  <c r="K42" i="8"/>
  <c r="L42" i="8"/>
  <c r="M42" i="8"/>
  <c r="B42" i="8"/>
  <c r="F38" i="8"/>
  <c r="F41" i="8" s="1"/>
  <c r="B38" i="8"/>
  <c r="B41" i="8" s="1"/>
  <c r="F29" i="8"/>
  <c r="C28" i="8"/>
  <c r="D28" i="8"/>
  <c r="E28" i="8"/>
  <c r="F28" i="8"/>
  <c r="G28" i="8"/>
  <c r="H28" i="8"/>
  <c r="I28" i="8"/>
  <c r="J28" i="8"/>
  <c r="K28" i="8"/>
  <c r="L28" i="8"/>
  <c r="M28" i="8"/>
  <c r="B28" i="8"/>
  <c r="C27" i="8"/>
  <c r="D27" i="8"/>
  <c r="E27" i="8"/>
  <c r="F27" i="8"/>
  <c r="G27" i="8"/>
  <c r="H27" i="8"/>
  <c r="I27" i="8"/>
  <c r="J27" i="8"/>
  <c r="K27" i="8"/>
  <c r="L27" i="8"/>
  <c r="M27" i="8"/>
  <c r="B27" i="8"/>
  <c r="H28" i="3"/>
  <c r="G28" i="3"/>
  <c r="F28" i="3"/>
  <c r="C15" i="8"/>
  <c r="C16" i="8" s="1"/>
  <c r="D15" i="8"/>
  <c r="D16" i="8" s="1"/>
  <c r="E15" i="8"/>
  <c r="B15" i="8"/>
  <c r="B16" i="8" s="1"/>
  <c r="F14" i="8"/>
  <c r="G14" i="8"/>
  <c r="H14" i="8"/>
  <c r="I14" i="8"/>
  <c r="J14" i="8"/>
  <c r="K14" i="8"/>
  <c r="L14" i="8"/>
  <c r="M14" i="8"/>
  <c r="E14" i="8"/>
  <c r="G13" i="8"/>
  <c r="H13" i="8"/>
  <c r="I13" i="8"/>
  <c r="J13" i="8"/>
  <c r="K13" i="8"/>
  <c r="L13" i="8"/>
  <c r="M13" i="8"/>
  <c r="F13" i="8"/>
  <c r="M37" i="8"/>
  <c r="L37" i="8"/>
  <c r="K37" i="8"/>
  <c r="J37" i="8"/>
  <c r="I37" i="8"/>
  <c r="H37" i="8"/>
  <c r="G37" i="8"/>
  <c r="F37" i="8"/>
  <c r="E37" i="8"/>
  <c r="D37" i="8"/>
  <c r="C37" i="8"/>
  <c r="B37" i="8"/>
  <c r="M22" i="8"/>
  <c r="L22" i="8"/>
  <c r="K22" i="8"/>
  <c r="J22" i="8"/>
  <c r="I22" i="8"/>
  <c r="H22" i="8"/>
  <c r="G22" i="8"/>
  <c r="F22" i="8"/>
  <c r="E22" i="8"/>
  <c r="D22" i="8"/>
  <c r="C22" i="8"/>
  <c r="B22" i="8"/>
  <c r="M8" i="8"/>
  <c r="L8" i="8"/>
  <c r="K8" i="8"/>
  <c r="J8" i="8"/>
  <c r="I8" i="8"/>
  <c r="H8" i="8"/>
  <c r="G8" i="8"/>
  <c r="F8" i="8"/>
  <c r="C40" i="8"/>
  <c r="D40" i="8"/>
  <c r="E40" i="8"/>
  <c r="F40" i="8"/>
  <c r="G40" i="8"/>
  <c r="H40" i="8"/>
  <c r="I40" i="8"/>
  <c r="J40" i="8"/>
  <c r="K40" i="8"/>
  <c r="L40" i="8"/>
  <c r="M40" i="8"/>
  <c r="B40" i="8"/>
  <c r="C25" i="8"/>
  <c r="D25" i="8"/>
  <c r="E25" i="8"/>
  <c r="F25" i="8"/>
  <c r="G25" i="8"/>
  <c r="H25" i="8"/>
  <c r="I25" i="8"/>
  <c r="J25" i="8"/>
  <c r="K25" i="8"/>
  <c r="L25" i="8"/>
  <c r="M25" i="8"/>
  <c r="B25" i="8"/>
  <c r="I11" i="8"/>
  <c r="J11" i="8"/>
  <c r="K11" i="8"/>
  <c r="L11" i="8"/>
  <c r="M11" i="8"/>
  <c r="E11" i="8"/>
  <c r="F39" i="8"/>
  <c r="G39" i="8"/>
  <c r="H39" i="8"/>
  <c r="I39" i="8"/>
  <c r="J39" i="8"/>
  <c r="K39" i="8"/>
  <c r="L39" i="8"/>
  <c r="M39" i="8"/>
  <c r="E39" i="8"/>
  <c r="D39" i="8"/>
  <c r="C39" i="8"/>
  <c r="B39" i="8"/>
  <c r="J36" i="8"/>
  <c r="J38" i="8" s="1"/>
  <c r="J41" i="8" s="1"/>
  <c r="M36" i="8"/>
  <c r="M38" i="8" s="1"/>
  <c r="M41" i="8" s="1"/>
  <c r="L36" i="8"/>
  <c r="L38" i="8" s="1"/>
  <c r="L41" i="8" s="1"/>
  <c r="K36" i="8"/>
  <c r="K38" i="8" s="1"/>
  <c r="K41" i="8" s="1"/>
  <c r="I36" i="8"/>
  <c r="I38" i="8" s="1"/>
  <c r="I41" i="8" s="1"/>
  <c r="H36" i="8"/>
  <c r="H38" i="8" s="1"/>
  <c r="H41" i="8" s="1"/>
  <c r="G36" i="8"/>
  <c r="G38" i="8" s="1"/>
  <c r="G41" i="8" s="1"/>
  <c r="F36" i="8"/>
  <c r="E36" i="8"/>
  <c r="E38" i="8" s="1"/>
  <c r="E41" i="8" s="1"/>
  <c r="D36" i="8"/>
  <c r="D38" i="8" s="1"/>
  <c r="D41" i="8" s="1"/>
  <c r="C36" i="8"/>
  <c r="C38" i="8" s="1"/>
  <c r="C41" i="8" s="1"/>
  <c r="B36" i="8"/>
  <c r="M24" i="8"/>
  <c r="L24" i="8"/>
  <c r="K24" i="8"/>
  <c r="J24" i="8"/>
  <c r="I24" i="8"/>
  <c r="H24" i="8"/>
  <c r="G24" i="8"/>
  <c r="F24" i="8"/>
  <c r="E24" i="8"/>
  <c r="D24" i="8"/>
  <c r="C24" i="8"/>
  <c r="B24" i="8"/>
  <c r="M10" i="8"/>
  <c r="L10" i="8"/>
  <c r="K10" i="8"/>
  <c r="J10" i="8"/>
  <c r="I10" i="8"/>
  <c r="H10" i="8"/>
  <c r="G10" i="8"/>
  <c r="F10" i="8"/>
  <c r="E10" i="8"/>
  <c r="M21" i="8"/>
  <c r="M23" i="8" s="1"/>
  <c r="L21" i="8"/>
  <c r="L23" i="8" s="1"/>
  <c r="L26" i="8" s="1"/>
  <c r="K21" i="8"/>
  <c r="J21" i="8"/>
  <c r="J23" i="8" s="1"/>
  <c r="J26" i="8" s="1"/>
  <c r="I21" i="8"/>
  <c r="I23" i="8" s="1"/>
  <c r="I26" i="8" s="1"/>
  <c r="H21" i="8"/>
  <c r="H23" i="8" s="1"/>
  <c r="H26" i="8" s="1"/>
  <c r="G21" i="8"/>
  <c r="G23" i="8" s="1"/>
  <c r="F21" i="8"/>
  <c r="F23" i="8" s="1"/>
  <c r="F26" i="8" s="1"/>
  <c r="E21" i="8"/>
  <c r="E23" i="8" s="1"/>
  <c r="D21" i="8"/>
  <c r="D23" i="8" s="1"/>
  <c r="D26" i="8" s="1"/>
  <c r="C21" i="8"/>
  <c r="B21" i="8"/>
  <c r="B23" i="8" s="1"/>
  <c r="B26" i="8" s="1"/>
  <c r="M7" i="8"/>
  <c r="M15" i="8" s="1"/>
  <c r="L7" i="8"/>
  <c r="L15" i="8" s="1"/>
  <c r="K7" i="8"/>
  <c r="K9" i="8" s="1"/>
  <c r="K12" i="8" s="1"/>
  <c r="J7" i="8"/>
  <c r="J9" i="8" s="1"/>
  <c r="I7" i="8"/>
  <c r="I15" i="8" s="1"/>
  <c r="H7" i="8"/>
  <c r="G7" i="8"/>
  <c r="F7" i="8"/>
  <c r="F15" i="8" s="1"/>
  <c r="C49" i="7"/>
  <c r="D49" i="7"/>
  <c r="E49" i="7"/>
  <c r="F49" i="7"/>
  <c r="J49" i="7"/>
  <c r="K49" i="7"/>
  <c r="L49" i="7"/>
  <c r="M49" i="7"/>
  <c r="B49" i="7"/>
  <c r="C57" i="7"/>
  <c r="D57" i="7"/>
  <c r="E57" i="7"/>
  <c r="F57" i="7"/>
  <c r="G57" i="7"/>
  <c r="G49" i="7" s="1"/>
  <c r="H57" i="7"/>
  <c r="H49" i="7" s="1"/>
  <c r="I57" i="7"/>
  <c r="I49" i="7" s="1"/>
  <c r="J57" i="7"/>
  <c r="K57" i="7"/>
  <c r="L57" i="7"/>
  <c r="M57" i="7"/>
  <c r="B57" i="7"/>
  <c r="C37" i="7"/>
  <c r="C29" i="7" s="1"/>
  <c r="D37" i="7"/>
  <c r="D29" i="7" s="1"/>
  <c r="E37" i="7"/>
  <c r="E29" i="7" s="1"/>
  <c r="I37" i="7"/>
  <c r="I29" i="7" s="1"/>
  <c r="J37" i="7"/>
  <c r="J29" i="7" s="1"/>
  <c r="K37" i="7"/>
  <c r="K29" i="7" s="1"/>
  <c r="L37" i="7"/>
  <c r="L29" i="7" s="1"/>
  <c r="M37" i="7"/>
  <c r="M29" i="7" s="1"/>
  <c r="C28" i="7"/>
  <c r="D28" i="7"/>
  <c r="E28" i="7"/>
  <c r="F28" i="7"/>
  <c r="F37" i="7" s="1"/>
  <c r="F29" i="7" s="1"/>
  <c r="G28" i="7"/>
  <c r="G37" i="7" s="1"/>
  <c r="G29" i="7" s="1"/>
  <c r="H28" i="7"/>
  <c r="H37" i="7" s="1"/>
  <c r="H29" i="7" s="1"/>
  <c r="I28" i="7"/>
  <c r="J28" i="7"/>
  <c r="K28" i="7"/>
  <c r="L28" i="7"/>
  <c r="M28" i="7"/>
  <c r="B28" i="7"/>
  <c r="B37" i="7" s="1"/>
  <c r="B29" i="7" s="1"/>
  <c r="E20" i="10" l="1"/>
  <c r="F20" i="10" s="1"/>
  <c r="G20" i="10" s="1"/>
  <c r="K11" i="10"/>
  <c r="E11" i="10"/>
  <c r="G18" i="10"/>
  <c r="G11" i="10" s="1"/>
  <c r="H18" i="10"/>
  <c r="H11" i="10" s="1"/>
  <c r="I18" i="10"/>
  <c r="I11" i="10" s="1"/>
  <c r="K23" i="8"/>
  <c r="K26" i="8" s="1"/>
  <c r="M29" i="8"/>
  <c r="E29" i="8"/>
  <c r="L29" i="8"/>
  <c r="D29" i="8"/>
  <c r="C23" i="8"/>
  <c r="C26" i="8" s="1"/>
  <c r="M26" i="8"/>
  <c r="K29" i="8"/>
  <c r="C29" i="8"/>
  <c r="E26" i="8"/>
  <c r="E16" i="8"/>
  <c r="J29" i="8"/>
  <c r="J30" i="8" s="1"/>
  <c r="B30" i="8"/>
  <c r="F30" i="8"/>
  <c r="G26" i="8"/>
  <c r="I29" i="8"/>
  <c r="I30" i="8" s="1"/>
  <c r="M30" i="8"/>
  <c r="E30" i="8"/>
  <c r="H29" i="8"/>
  <c r="H30" i="8" s="1"/>
  <c r="L30" i="8"/>
  <c r="D30" i="8"/>
  <c r="B29" i="8"/>
  <c r="G29" i="8"/>
  <c r="G30" i="8" s="1"/>
  <c r="K30" i="8"/>
  <c r="C30" i="8"/>
  <c r="I16" i="8"/>
  <c r="G9" i="8"/>
  <c r="M16" i="8"/>
  <c r="L16" i="8"/>
  <c r="J12" i="8"/>
  <c r="H9" i="8"/>
  <c r="F9" i="8"/>
  <c r="L9" i="8"/>
  <c r="L12" i="8" s="1"/>
  <c r="I9" i="8"/>
  <c r="I12" i="8" s="1"/>
  <c r="K15" i="8"/>
  <c r="K16" i="8" s="1"/>
  <c r="M9" i="8"/>
  <c r="M12" i="8" s="1"/>
  <c r="J15" i="8"/>
  <c r="J16" i="8" s="1"/>
  <c r="G15" i="8"/>
  <c r="H15" i="8"/>
  <c r="C6" i="7"/>
  <c r="E10" i="3"/>
  <c r="C13" i="7" s="1"/>
  <c r="C9" i="7" s="1"/>
  <c r="G10" i="3"/>
  <c r="E13" i="7" s="1"/>
  <c r="H10" i="3"/>
  <c r="F13" i="7" s="1"/>
  <c r="I10" i="3"/>
  <c r="G13" i="7" s="1"/>
  <c r="J10" i="3"/>
  <c r="H13" i="7" s="1"/>
  <c r="K10" i="3"/>
  <c r="I13" i="7" s="1"/>
  <c r="L10" i="3"/>
  <c r="J13" i="7" s="1"/>
  <c r="M10" i="3"/>
  <c r="K13" i="7" s="1"/>
  <c r="F10" i="3"/>
  <c r="D13" i="7" s="1"/>
  <c r="G37" i="3"/>
  <c r="C30" i="3" s="1"/>
  <c r="G38" i="3"/>
  <c r="G39" i="3"/>
  <c r="G40" i="3"/>
  <c r="G41" i="3"/>
  <c r="G42" i="3"/>
  <c r="G43" i="3"/>
  <c r="G44" i="3"/>
  <c r="G45" i="3"/>
  <c r="G46" i="3"/>
  <c r="G47" i="3"/>
  <c r="G36" i="3"/>
  <c r="B30" i="3" s="1"/>
  <c r="F37" i="3"/>
  <c r="C29" i="3" s="1"/>
  <c r="F38" i="3"/>
  <c r="D29" i="3" s="1"/>
  <c r="F39" i="3"/>
  <c r="F40" i="3"/>
  <c r="F41" i="3"/>
  <c r="F42" i="3"/>
  <c r="F43" i="3"/>
  <c r="F44" i="3"/>
  <c r="F45" i="3"/>
  <c r="F46" i="3"/>
  <c r="F47" i="3"/>
  <c r="F36" i="3"/>
  <c r="E41" i="3"/>
  <c r="E14" i="7" s="1"/>
  <c r="G11" i="8" s="1"/>
  <c r="G16" i="8" s="1"/>
  <c r="E42" i="3"/>
  <c r="F14" i="7" s="1"/>
  <c r="H11" i="8" s="1"/>
  <c r="H16" i="8" s="1"/>
  <c r="E43" i="3"/>
  <c r="I28" i="3" s="1"/>
  <c r="G14" i="7" s="1"/>
  <c r="E44" i="3"/>
  <c r="J28" i="3" s="1"/>
  <c r="H14" i="7" s="1"/>
  <c r="E45" i="3"/>
  <c r="K28" i="3" s="1"/>
  <c r="I14" i="7" s="1"/>
  <c r="E46" i="3"/>
  <c r="J8" i="7" s="1"/>
  <c r="J16" i="7" s="1"/>
  <c r="E47" i="3"/>
  <c r="M28" i="3" s="1"/>
  <c r="K14" i="7" s="1"/>
  <c r="E40" i="3"/>
  <c r="D14" i="7" s="1"/>
  <c r="F11" i="8" s="1"/>
  <c r="F16" i="8" s="1"/>
  <c r="C5" i="1"/>
  <c r="B5" i="1"/>
  <c r="C7" i="7" s="1"/>
  <c r="B50" i="2"/>
  <c r="B53" i="2" s="1"/>
  <c r="H20" i="10" l="1"/>
  <c r="I20" i="10" s="1"/>
  <c r="J20" i="10" s="1"/>
  <c r="K20" i="10" s="1"/>
  <c r="L20" i="10" s="1"/>
  <c r="H12" i="8"/>
  <c r="G12" i="8"/>
  <c r="F12" i="8"/>
  <c r="L28" i="3"/>
  <c r="J14" i="7" s="1"/>
  <c r="C5" i="7"/>
  <c r="C18" i="7" s="1"/>
  <c r="F8" i="7"/>
  <c r="F16" i="7" s="1"/>
  <c r="I8" i="7"/>
  <c r="I16" i="7" s="1"/>
  <c r="I9" i="7" s="1"/>
  <c r="J9" i="7"/>
  <c r="F9" i="7"/>
  <c r="E8" i="7"/>
  <c r="E16" i="7" s="1"/>
  <c r="E48" i="3"/>
  <c r="G8" i="7"/>
  <c r="K8" i="7"/>
  <c r="J5" i="7"/>
  <c r="F5" i="7"/>
  <c r="D8" i="7"/>
  <c r="H8" i="7"/>
  <c r="F48" i="3"/>
  <c r="B29" i="3"/>
  <c r="G48" i="3"/>
  <c r="D101" i="10"/>
  <c r="E101" i="10"/>
  <c r="F101" i="10"/>
  <c r="G101" i="10"/>
  <c r="H101" i="10"/>
  <c r="I101" i="10"/>
  <c r="J101" i="10"/>
  <c r="K101" i="10"/>
  <c r="L101" i="10"/>
  <c r="M101" i="10"/>
  <c r="N101" i="10"/>
  <c r="C101" i="10"/>
  <c r="D86" i="10"/>
  <c r="E86" i="10"/>
  <c r="F86" i="10"/>
  <c r="G86" i="10"/>
  <c r="H86" i="10"/>
  <c r="I86" i="10"/>
  <c r="J86" i="10"/>
  <c r="K86" i="10"/>
  <c r="L86" i="10"/>
  <c r="M86" i="10"/>
  <c r="N86" i="10"/>
  <c r="C86" i="10"/>
  <c r="N68" i="10"/>
  <c r="G68" i="10"/>
  <c r="H68" i="10"/>
  <c r="I68" i="10"/>
  <c r="J68" i="10"/>
  <c r="K68" i="10"/>
  <c r="L68" i="10"/>
  <c r="M68" i="10"/>
  <c r="B48" i="10"/>
  <c r="I5" i="7" l="1"/>
  <c r="G16" i="7"/>
  <c r="G9" i="7" s="1"/>
  <c r="G5" i="7"/>
  <c r="H16" i="7"/>
  <c r="H9" i="7" s="1"/>
  <c r="H5" i="7"/>
  <c r="D16" i="7"/>
  <c r="D9" i="7" s="1"/>
  <c r="D5" i="7"/>
  <c r="E9" i="7"/>
  <c r="E5" i="7"/>
  <c r="K16" i="7"/>
  <c r="K9" i="7" s="1"/>
  <c r="K5" i="7"/>
  <c r="D18" i="7" l="1"/>
  <c r="E18" i="7"/>
  <c r="F18" i="7" s="1"/>
  <c r="G18" i="7" s="1"/>
  <c r="H18" i="7" s="1"/>
  <c r="I18" i="7" s="1"/>
  <c r="J18" i="7" s="1"/>
  <c r="K18" i="7" s="1"/>
  <c r="B38" i="7" s="1"/>
  <c r="B39" i="7" s="1"/>
  <c r="C39" i="7" s="1"/>
  <c r="D39" i="7" s="1"/>
  <c r="E39" i="7" s="1"/>
  <c r="F39" i="7" s="1"/>
  <c r="G39" i="7" s="1"/>
  <c r="H39" i="7" s="1"/>
  <c r="I39" i="7" s="1"/>
  <c r="J39" i="7" s="1"/>
  <c r="K39" i="7" s="1"/>
  <c r="L39" i="7" s="1"/>
  <c r="M39" i="7" s="1"/>
  <c r="B58" i="7" s="1"/>
  <c r="B59" i="7" s="1"/>
  <c r="C59" i="7" s="1"/>
  <c r="D59" i="7" s="1"/>
  <c r="E59" i="7" s="1"/>
  <c r="F59" i="7" s="1"/>
  <c r="G59" i="7" s="1"/>
  <c r="H59" i="7" s="1"/>
  <c r="I59" i="7" s="1"/>
  <c r="J59" i="7" s="1"/>
  <c r="K59" i="7" s="1"/>
  <c r="L59" i="7" s="1"/>
  <c r="M59" i="7" s="1"/>
</calcChain>
</file>

<file path=xl/sharedStrings.xml><?xml version="1.0" encoding="utf-8"?>
<sst xmlns="http://schemas.openxmlformats.org/spreadsheetml/2006/main" count="795" uniqueCount="431">
  <si>
    <t>Лист1 - данные для расчетов: % займа, натуральные величины, налоговые ставки региона, ставки дисконтирования и другие показатели необходимые для обоснования расчета.</t>
  </si>
  <si>
    <t>привлеченные средства</t>
  </si>
  <si>
    <t xml:space="preserve">собственные средства </t>
  </si>
  <si>
    <t xml:space="preserve">1. Стоимость инвестиционного проекта: , из них:         </t>
  </si>
  <si>
    <t xml:space="preserve">2. Срок окупаемости: </t>
  </si>
  <si>
    <t xml:space="preserve">3. Срок выхода на плановый объем продаж: </t>
  </si>
  <si>
    <t xml:space="preserve">5. Чистая прибыль : </t>
  </si>
  <si>
    <t>2022г</t>
  </si>
  <si>
    <t>4. Система налогообложения: УСН,%</t>
  </si>
  <si>
    <t>IRR</t>
  </si>
  <si>
    <t xml:space="preserve">7. Чистая приведенная стоимость (NPV) </t>
  </si>
  <si>
    <t xml:space="preserve">8. Индекс прибыльности (PI) </t>
  </si>
  <si>
    <t>9. Внутренняя норма доходности (IRR), %</t>
  </si>
  <si>
    <t>Год</t>
  </si>
  <si>
    <t>Величина инвестиций, руб.</t>
  </si>
  <si>
    <t>Денежный поток по годам, руб.</t>
  </si>
  <si>
    <t>Компоненты денежного потока по годам, приведенные к нулевому году, руб.</t>
  </si>
  <si>
    <t>Накопленный к данному году дисконтированный денежный поток, руб.</t>
  </si>
  <si>
    <t>-</t>
  </si>
  <si>
    <r>
      <t>339524,7 / (1,0625)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= 319552,659</t>
    </r>
  </si>
  <si>
    <t>319552,659 - 179000 = 140552,659</t>
  </si>
  <si>
    <r>
      <t>1253966 / (1,0625)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= 1110775,881</t>
    </r>
  </si>
  <si>
    <t>319552,659 + 1110775,881 - 179000 = 1251328,54</t>
  </si>
  <si>
    <r>
      <t>2580036 / (1,0625)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= 2150992,569</t>
    </r>
  </si>
  <si>
    <t>319552,659 + 1110775,881 +2150992,569 - 179000 = 3402321,109</t>
  </si>
  <si>
    <t>Лист2 Расчеты инвестиционного капитала (первоначальных затрат)</t>
  </si>
  <si>
    <t>Итого</t>
  </si>
  <si>
    <t>Наименование</t>
  </si>
  <si>
    <t>Цена</t>
  </si>
  <si>
    <t>Брендирование</t>
  </si>
  <si>
    <t>Аутсорсинг</t>
  </si>
  <si>
    <t>Статья затрат</t>
  </si>
  <si>
    <t>Сумма</t>
  </si>
  <si>
    <t>Государственная регистрация ИП (уплата государственной пошлины)</t>
  </si>
  <si>
    <t>Печать</t>
  </si>
  <si>
    <t>Открытие расчетного счета</t>
  </si>
  <si>
    <t>Маркетинговые мероприятия: рекламная компания, создание корпоративного сайта</t>
  </si>
  <si>
    <t xml:space="preserve">Оборудование </t>
  </si>
  <si>
    <t>ИТОГО</t>
  </si>
  <si>
    <r>
      <t>Лист 3</t>
    </r>
    <r>
      <rPr>
        <sz val="12"/>
        <color rgb="FF000000"/>
        <rFont val="Times New Roman"/>
        <family val="1"/>
        <charset val="204"/>
      </rPr>
      <t xml:space="preserve"> План на будущие периоды Доходов и расходов</t>
    </r>
  </si>
  <si>
    <t>Месяц</t>
  </si>
  <si>
    <t>Янв</t>
  </si>
  <si>
    <t>Фев.</t>
  </si>
  <si>
    <t>Мар.</t>
  </si>
  <si>
    <t>Апр.</t>
  </si>
  <si>
    <t>Май</t>
  </si>
  <si>
    <t>Июн</t>
  </si>
  <si>
    <t>Июл</t>
  </si>
  <si>
    <t>Авг</t>
  </si>
  <si>
    <t>Сент</t>
  </si>
  <si>
    <t>Окт</t>
  </si>
  <si>
    <t>Нояб.</t>
  </si>
  <si>
    <t>Дек</t>
  </si>
  <si>
    <t>Арендная плата</t>
  </si>
  <si>
    <t>Телефония и Интернет</t>
  </si>
  <si>
    <t>Канцтовары</t>
  </si>
  <si>
    <t>Хоз. инвентарь</t>
  </si>
  <si>
    <t> Итого</t>
  </si>
  <si>
    <t>Янв.</t>
  </si>
  <si>
    <t>Июн.</t>
  </si>
  <si>
    <t>Июл.</t>
  </si>
  <si>
    <t>Авг.</t>
  </si>
  <si>
    <t>Сент.</t>
  </si>
  <si>
    <t>Окт.</t>
  </si>
  <si>
    <t>Дек.</t>
  </si>
  <si>
    <t>Прогноз 2022г</t>
  </si>
  <si>
    <t xml:space="preserve">Месяц </t>
  </si>
  <si>
    <t>Среднедневная численность, чел.</t>
  </si>
  <si>
    <t>Выручка, руб.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</si>
  <si>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</si>
  <si>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</si>
  <si>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</si>
  <si>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</si>
  <si>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</si>
  <si>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</si>
  <si>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</si>
  <si>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</si>
  <si>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</si>
  <si>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</si>
  <si>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</si>
  <si>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Лист 4</t>
    </r>
    <r>
      <rPr>
        <sz val="12"/>
        <color rgb="FF000000"/>
        <rFont val="Times New Roman"/>
        <family val="1"/>
        <charset val="204"/>
      </rPr>
      <t xml:space="preserve"> Расчеты себестоимости продукции </t>
    </r>
  </si>
  <si>
    <t>Услуги</t>
  </si>
  <si>
    <t>Объем услуг, в месяц, ед.</t>
  </si>
  <si>
    <t>Себестоимость 1 часа, руб.</t>
  </si>
  <si>
    <t>Наценка на единицу, %</t>
  </si>
  <si>
    <t>Средняя цена конкурентов, руб.</t>
  </si>
  <si>
    <t>Итоговая цена час/руб.</t>
  </si>
  <si>
    <t>6*4</t>
  </si>
  <si>
    <t>время</t>
  </si>
  <si>
    <t>пн</t>
  </si>
  <si>
    <t>вт</t>
  </si>
  <si>
    <t>ср</t>
  </si>
  <si>
    <t>чт</t>
  </si>
  <si>
    <t>вс</t>
  </si>
  <si>
    <t>12:00 — 13:00</t>
  </si>
  <si>
    <t>14:00 — 15:00</t>
  </si>
  <si>
    <t>16:00 — 17:00</t>
  </si>
  <si>
    <t>17:30 — 18:30</t>
  </si>
  <si>
    <r>
      <t>Лист 5</t>
    </r>
    <r>
      <rPr>
        <sz val="12"/>
        <color rgb="FF000000"/>
        <rFont val="Times New Roman"/>
        <family val="1"/>
        <charset val="204"/>
      </rPr>
      <t xml:space="preserve"> Факт прошлых периодов Доходов и расходов</t>
    </r>
  </si>
  <si>
    <r>
      <t>Лист 6</t>
    </r>
    <r>
      <rPr>
        <sz val="12"/>
        <color rgb="FF000000"/>
        <rFont val="Times New Roman"/>
        <family val="1"/>
        <charset val="204"/>
      </rPr>
      <t xml:space="preserve"> Фактический баланс на предыдущую отчетную дату </t>
    </r>
  </si>
  <si>
    <r>
      <t>Лист 7</t>
    </r>
    <r>
      <rPr>
        <sz val="12"/>
        <color rgb="FF000000"/>
        <rFont val="Times New Roman"/>
        <family val="1"/>
        <charset val="204"/>
      </rPr>
      <t xml:space="preserve"> Прогнозный баланс</t>
    </r>
  </si>
  <si>
    <t> Показатели</t>
  </si>
  <si>
    <t> Поступления, всего</t>
  </si>
  <si>
    <t>Личные средства</t>
  </si>
  <si>
    <t>Кредит</t>
  </si>
  <si>
    <t>Выручка от продаж</t>
  </si>
  <si>
    <t>Выбытие всего</t>
  </si>
  <si>
    <t>Оборудование</t>
  </si>
  <si>
    <t>Нематериальные активы</t>
  </si>
  <si>
    <t>ФОТ</t>
  </si>
  <si>
    <t>Условно-постоянных расходов</t>
  </si>
  <si>
    <t>Условно-переменные затраты</t>
  </si>
  <si>
    <t>Выплата кредита</t>
  </si>
  <si>
    <t>Баланс наличности</t>
  </si>
  <si>
    <t>Амортизационные отчисления  (4%)</t>
  </si>
  <si>
    <t>Показатели</t>
  </si>
  <si>
    <t>Поступления, всего</t>
  </si>
  <si>
    <t>Налог на доход,  6%</t>
  </si>
  <si>
    <t>Баланс  наличности</t>
  </si>
  <si>
    <r>
      <t>Лист 8</t>
    </r>
    <r>
      <rPr>
        <sz val="12"/>
        <color rgb="FF000000"/>
        <rFont val="Times New Roman"/>
        <family val="1"/>
        <charset val="204"/>
      </rPr>
      <t xml:space="preserve"> План ДДС будущих периодов Доходов и расходов с указанием необходимого оборотного капитала.</t>
    </r>
  </si>
  <si>
    <t> Месяцы</t>
  </si>
  <si>
    <t>Себестоимость  услуг</t>
  </si>
  <si>
    <t>Валовая прибыль</t>
  </si>
  <si>
    <t xml:space="preserve">Управленческие расходы </t>
  </si>
  <si>
    <t xml:space="preserve">Коммерческие расходы </t>
  </si>
  <si>
    <t>Прибыль от продаж</t>
  </si>
  <si>
    <t>Амортизационные отчисления (4%  в месяц)</t>
  </si>
  <si>
    <t>Вариант 1</t>
  </si>
  <si>
    <t>Налогооблагаемая база</t>
  </si>
  <si>
    <t>Налог на доход, 15%</t>
  </si>
  <si>
    <t>Чистая прибыль</t>
  </si>
  <si>
    <t>Налог на доход, 6%</t>
  </si>
  <si>
    <t>Месяцы</t>
  </si>
  <si>
    <t>Себестоимость продаж</t>
  </si>
  <si>
    <t>Управленческие расходы (ФОТ)</t>
  </si>
  <si>
    <t xml:space="preserve">Амортизационные отчисления </t>
  </si>
  <si>
    <t>Лист 9 Факт LLC за прошлые периоды</t>
  </si>
  <si>
    <r>
      <t>Лист 10</t>
    </r>
    <r>
      <rPr>
        <sz val="12"/>
        <color rgb="FF000000"/>
        <rFont val="Times New Roman"/>
        <family val="1"/>
        <charset val="204"/>
      </rPr>
      <t xml:space="preserve"> Показатели деятельности (ОБЯЗАТЕЛЬНЫЕ: полные инвестиции в проект (стартовые+оборотный), Простой период окупаемост</t>
    </r>
    <r>
      <rPr>
        <sz val="12"/>
        <color theme="1"/>
        <rFont val="Times New Roman"/>
        <family val="1"/>
        <charset val="204"/>
      </rPr>
      <t>и</t>
    </r>
    <r>
      <rPr>
        <sz val="12"/>
        <color rgb="FF000000"/>
        <rFont val="Times New Roman"/>
        <family val="1"/>
        <charset val="204"/>
      </rPr>
      <t>, NPV, IRR, IP, Рентабельность продаж по проекту.)</t>
    </r>
  </si>
  <si>
    <t>1год</t>
  </si>
  <si>
    <t>2 год</t>
  </si>
  <si>
    <t>3 год</t>
  </si>
  <si>
    <t>Стартовые инвестиции</t>
  </si>
  <si>
    <t>Свободный денежный поток</t>
  </si>
  <si>
    <t>Ставка дисконтирования, % (кумулятивный метод)</t>
  </si>
  <si>
    <r>
      <t>БСЦБ – учетная ставка</t>
    </r>
    <r>
      <rPr>
        <sz val="11"/>
        <color theme="1"/>
        <rFont val="Calibri"/>
        <family val="2"/>
        <charset val="204"/>
        <scheme val="minor"/>
      </rPr>
      <t xml:space="preserve"> Центробанка;</t>
    </r>
  </si>
  <si>
    <t xml:space="preserve"> Ро – риски, свойственные для определенных отраслей</t>
  </si>
  <si>
    <t xml:space="preserve">Рс – риск конкретной страны, где предусматривается внедрение проекта; </t>
  </si>
  <si>
    <t xml:space="preserve">Рн – риск возможной низкой стоимости (неликвидности) начинания; </t>
  </si>
  <si>
    <t xml:space="preserve">Ру – риск от недостаточно качественного менеджмента. </t>
  </si>
  <si>
    <t>Чистая приведенная стоимость (NPV)</t>
  </si>
  <si>
    <t>Индекс прибыльности (PI)</t>
  </si>
  <si>
    <t xml:space="preserve">Внутренняя норма доходности (IRR)  </t>
  </si>
  <si>
    <r>
      <rPr>
        <b/>
        <sz val="11"/>
        <color theme="1"/>
        <rFont val="Calibri"/>
        <family val="2"/>
        <charset val="204"/>
        <scheme val="minor"/>
      </rPr>
      <t>Pi</t>
    </r>
    <r>
      <rPr>
        <sz val="11"/>
        <color theme="1"/>
        <rFont val="Calibri"/>
        <family val="2"/>
        <charset val="204"/>
        <scheme val="minor"/>
      </rPr>
      <t>-= 1 + 3402321,109/179000=20,01</t>
    </r>
  </si>
  <si>
    <r>
      <rPr>
        <b/>
        <sz val="11"/>
        <color theme="1"/>
        <rFont val="Calibri"/>
        <family val="2"/>
        <charset val="204"/>
        <scheme val="minor"/>
      </rPr>
      <t xml:space="preserve">NPV </t>
    </r>
    <r>
      <rPr>
        <sz val="11"/>
        <color theme="1"/>
        <rFont val="Calibri"/>
        <family val="2"/>
        <charset val="204"/>
        <scheme val="minor"/>
      </rPr>
      <t>= 3402321,109</t>
    </r>
  </si>
  <si>
    <t>Рентабельность продаж, %</t>
  </si>
  <si>
    <t>Рентабельностьпродаж, %</t>
  </si>
  <si>
    <t>Таблица 25- Расчет постоянных  расходов  студии «Танцуем Вместе», тыс.руб.</t>
  </si>
  <si>
    <t>Таблица 26 - Затраты на оплату труда студии «Танцуем Вместе»,  тыс. руб.</t>
  </si>
  <si>
    <t>Таблица 28 - Отчет о движении денежных средств за 2020г, руб.</t>
  </si>
  <si>
    <t>Таблица 31 - Отчет о финансовых результатах студии за 2019г, тыс. руб.</t>
  </si>
  <si>
    <t>Таблица 32 - Отчет о финансовых результатах студии за 2021г, тыс. руб.</t>
  </si>
  <si>
    <t>Таблица 33 - Отчет о финансовых результатах студии за 2022г, тыс. руб.</t>
  </si>
  <si>
    <t>Таблица 34 - Анализ эффективности инвестиций,   руб.</t>
  </si>
  <si>
    <t>Модель Портера сводные таблицы</t>
  </si>
  <si>
    <t>Параметр оценки</t>
  </si>
  <si>
    <t>Оценка параметра</t>
  </si>
  <si>
    <t>3</t>
  </si>
  <si>
    <t>2</t>
  </si>
  <si>
    <t>1</t>
  </si>
  <si>
    <t>Товары-заменители в  позици "цена-качество"</t>
  </si>
  <si>
    <t>существуют и занимают высокую долю на рынке</t>
  </si>
  <si>
    <t>существуют, но только вошли на рынок и их доля мала</t>
  </si>
  <si>
    <t>не существуют</t>
  </si>
  <si>
    <t>+</t>
  </si>
  <si>
    <t>ИТОГОВЫЙ БАЛЛ</t>
  </si>
  <si>
    <t>1 балл</t>
  </si>
  <si>
    <t>низкий уровень угрозы со стороны товаров-заменителей</t>
  </si>
  <si>
    <t>2 балла</t>
  </si>
  <si>
    <t>средний уровень угрозы со стороны товаров-заменителей</t>
  </si>
  <si>
    <t>3 балла</t>
  </si>
  <si>
    <t>высокий уровень угрозы со стороны товаров-заменителей</t>
  </si>
  <si>
    <t>ТОВАРЫ ЗАМЕНИТЕЛИ</t>
  </si>
  <si>
    <t>ДЕЙСТВУЮЩИЕ КОНКУРЕНТЫ</t>
  </si>
  <si>
    <t>Количество игроков</t>
  </si>
  <si>
    <t>Высокий уровень насыщения рынка</t>
  </si>
  <si>
    <t>Средний уровень насыщения рынка</t>
  </si>
  <si>
    <t xml:space="preserve">   Небольшое количество игроков</t>
  </si>
  <si>
    <t>Темп роста рынка</t>
  </si>
  <si>
    <t>Стагнация или снижение объема рынка</t>
  </si>
  <si>
    <t>Замедляющийся, но растущий</t>
  </si>
  <si>
    <t>Высокий</t>
  </si>
  <si>
    <t>Уровень дифференциации продукта</t>
  </si>
  <si>
    <t>Компании продают стандартизированный товар</t>
  </si>
  <si>
    <t>Товар стандартизирован по ключевым свойствам, но отличается по дополнительным преимуществам</t>
  </si>
  <si>
    <t>Продукты компаний значимо отличаются между собой</t>
  </si>
  <si>
    <t>Ограничение в повышении цен</t>
  </si>
  <si>
    <t>Жесткая ценовая конкуренция на рынке, отсутствуют возможности в повышении цен</t>
  </si>
  <si>
    <t>Есть возможность к повышению цен только в рамках покрытия роста затрат</t>
  </si>
  <si>
    <t>Всегда есть возможность к повышению цены для покрытия роста затрат и повышения прибыли</t>
  </si>
  <si>
    <t>4 балла</t>
  </si>
  <si>
    <t>Низкий уровень внутриотраслевой конкуренции</t>
  </si>
  <si>
    <t>5-8 баллов</t>
  </si>
  <si>
    <t>Средний уровень внутриотраслевой конкуренции</t>
  </si>
  <si>
    <t>9-12 баллов</t>
  </si>
  <si>
    <t>Высокий уровень внутриотраслевой конкуренции</t>
  </si>
  <si>
    <t>НОВЫЕ КОНКУРЕНТЫ</t>
  </si>
  <si>
    <r>
      <rPr>
        <b/>
        <sz val="14"/>
        <rFont val="Calibri"/>
        <family val="2"/>
        <charset val="204"/>
      </rPr>
      <t>Параметр оценки</t>
    </r>
  </si>
  <si>
    <r>
      <rPr>
        <b/>
        <sz val="14"/>
        <rFont val="Calibri"/>
        <family val="2"/>
        <charset val="204"/>
      </rPr>
      <t>Оценка параметра</t>
    </r>
  </si>
  <si>
    <r>
      <rPr>
        <b/>
        <sz val="14"/>
        <rFont val="Calibri"/>
        <family val="2"/>
        <charset val="204"/>
      </rPr>
      <t>3</t>
    </r>
  </si>
  <si>
    <r>
      <rPr>
        <b/>
        <sz val="14"/>
        <rFont val="Calibri"/>
        <family val="2"/>
        <charset val="204"/>
      </rPr>
      <t>2</t>
    </r>
  </si>
  <si>
    <r>
      <rPr>
        <b/>
        <sz val="14"/>
        <rFont val="Calibri"/>
        <family val="2"/>
        <charset val="204"/>
      </rPr>
      <t>1</t>
    </r>
  </si>
  <si>
    <r>
      <rPr>
        <sz val="14"/>
        <rFont val="Calibri"/>
        <family val="2"/>
        <charset val="204"/>
      </rPr>
      <t>Экономия на масштабе при производстве товара или услуги</t>
    </r>
  </si>
  <si>
    <r>
      <rPr>
        <sz val="14"/>
        <rFont val="Calibri"/>
        <family val="2"/>
        <charset val="204"/>
      </rPr>
      <t>отсутствует</t>
    </r>
  </si>
  <si>
    <r>
      <rPr>
        <sz val="14"/>
        <rFont val="Calibri"/>
        <family val="2"/>
        <charset val="204"/>
      </rPr>
      <t>существует только у нескольких игроков рынка</t>
    </r>
  </si>
  <si>
    <r>
      <rPr>
        <sz val="14"/>
        <rFont val="Calibri"/>
        <family val="2"/>
        <charset val="204"/>
      </rPr>
      <t>значимая</t>
    </r>
  </si>
  <si>
    <r>
      <rPr>
        <sz val="14"/>
        <rFont val="Calibri"/>
        <family val="2"/>
        <charset val="204"/>
      </rPr>
      <t>Сильные марки с высоким уровнем знания и лояльности</t>
    </r>
  </si>
  <si>
    <r>
      <rPr>
        <sz val="14"/>
        <rFont val="Calibri"/>
        <family val="2"/>
        <charset val="204"/>
      </rPr>
      <t>отсутствуют крупные игроки</t>
    </r>
  </si>
  <si>
    <t>2-3 крупных игрока держат около 50% рынка</t>
  </si>
  <si>
    <r>
      <rPr>
        <sz val="14"/>
        <rFont val="Calibri"/>
        <family val="2"/>
        <charset val="204"/>
      </rPr>
      <t>2-3 крупных игрока держат более 80% рынка</t>
    </r>
  </si>
  <si>
    <r>
      <rPr>
        <sz val="14"/>
        <rFont val="Calibri"/>
        <family val="2"/>
        <charset val="204"/>
      </rPr>
      <t>Дифференциация продукта</t>
    </r>
  </si>
  <si>
    <r>
      <rPr>
        <sz val="14"/>
        <rFont val="Calibri"/>
        <family val="2"/>
        <charset val="204"/>
      </rPr>
      <t>низкий уровень разнообразия товара</t>
    </r>
  </si>
  <si>
    <r>
      <rPr>
        <sz val="14"/>
        <rFont val="Calibri"/>
        <family val="2"/>
        <charset val="204"/>
      </rPr>
      <t>существуют микро-ниши</t>
    </r>
  </si>
  <si>
    <r>
      <rPr>
        <sz val="14"/>
        <rFont val="Calibri"/>
        <family val="2"/>
        <charset val="204"/>
      </rPr>
      <t>все возможные ниши заняты игроками</t>
    </r>
  </si>
  <si>
    <r>
      <rPr>
        <sz val="14"/>
        <rFont val="Calibri"/>
        <family val="2"/>
        <charset val="204"/>
      </rPr>
      <t>Уровень инвестиций и затрат для входа в отрасль</t>
    </r>
  </si>
  <si>
    <r>
      <rPr>
        <sz val="14"/>
        <rFont val="Calibri"/>
        <family val="2"/>
        <charset val="204"/>
      </rPr>
      <t>низкий(окупается за 1-3 месяца работы)</t>
    </r>
  </si>
  <si>
    <r>
      <rPr>
        <sz val="14"/>
        <rFont val="Calibri"/>
        <family val="2"/>
        <charset val="204"/>
      </rPr>
      <t>средний (окупается за 6-12 месяцев работы)</t>
    </r>
  </si>
  <si>
    <r>
      <rPr>
        <sz val="14"/>
        <rFont val="Calibri"/>
        <family val="2"/>
        <charset val="204"/>
      </rPr>
      <t>высокий (окупается более чем за 1 год работы)</t>
    </r>
  </si>
  <si>
    <r>
      <rPr>
        <sz val="14"/>
        <rFont val="Calibri"/>
        <family val="2"/>
        <charset val="204"/>
      </rPr>
      <t>Доступ к каналам распределения</t>
    </r>
  </si>
  <si>
    <r>
      <rPr>
        <sz val="14"/>
        <rFont val="Calibri"/>
        <family val="2"/>
        <charset val="204"/>
      </rPr>
      <t>доступ к каналам распределения полностью открыт</t>
    </r>
  </si>
  <si>
    <r>
      <rPr>
        <sz val="14"/>
        <rFont val="Calibri"/>
        <family val="2"/>
        <charset val="204"/>
      </rPr>
      <t>доступ к каналам распределения требует умеренных инвестиций</t>
    </r>
  </si>
  <si>
    <r>
      <rPr>
        <sz val="14"/>
        <rFont val="Calibri"/>
        <family val="2"/>
        <charset val="204"/>
      </rPr>
      <t>доступ к каналам распределения ограничен</t>
    </r>
  </si>
  <si>
    <r>
      <rPr>
        <sz val="14"/>
        <rFont val="Calibri"/>
        <family val="2"/>
        <charset val="204"/>
      </rPr>
      <t>Политика правительства</t>
    </r>
  </si>
  <si>
    <r>
      <rPr>
        <sz val="14"/>
        <rFont val="Calibri"/>
        <family val="2"/>
        <charset val="204"/>
      </rPr>
      <t>нет ограничивающих актов со стороны государства</t>
    </r>
  </si>
  <si>
    <r>
      <rPr>
        <sz val="14"/>
        <rFont val="Calibri"/>
        <family val="2"/>
        <charset val="204"/>
      </rPr>
      <t>государство вмешивается в деятельность отрасли, но на низком уровне</t>
    </r>
  </si>
  <si>
    <r>
      <rPr>
        <sz val="14"/>
        <rFont val="Calibri"/>
        <family val="2"/>
        <charset val="204"/>
      </rPr>
      <t>государство полностью регламентирует отрасль и устанавливает ограничения</t>
    </r>
  </si>
  <si>
    <r>
      <rPr>
        <sz val="14"/>
        <rFont val="Calibri"/>
        <family val="2"/>
        <charset val="204"/>
      </rPr>
      <t>Готовность существующих игроков к снижению цен</t>
    </r>
  </si>
  <si>
    <r>
      <rPr>
        <sz val="14"/>
        <rFont val="Calibri"/>
        <family val="2"/>
        <charset val="204"/>
      </rPr>
      <t>игроки не пойдут на снижение цен</t>
    </r>
  </si>
  <si>
    <r>
      <rPr>
        <sz val="14"/>
        <rFont val="Calibri"/>
        <family val="2"/>
        <charset val="204"/>
      </rPr>
      <t>крупные игроки не пойдут на снижение цен</t>
    </r>
  </si>
  <si>
    <t>при любой попытке ввода более дешевого предложения игроки снижают цены</t>
  </si>
  <si>
    <r>
      <rPr>
        <sz val="14"/>
        <rFont val="Calibri"/>
        <family val="2"/>
        <charset val="204"/>
      </rPr>
      <t>Темп роста отрасли</t>
    </r>
  </si>
  <si>
    <r>
      <rPr>
        <sz val="14"/>
        <rFont val="Calibri"/>
        <family val="2"/>
        <charset val="204"/>
      </rPr>
      <t>высокий и растущий</t>
    </r>
  </si>
  <si>
    <r>
      <rPr>
        <sz val="14"/>
        <rFont val="Calibri"/>
        <family val="2"/>
        <charset val="204"/>
      </rPr>
      <t>замедляющийся</t>
    </r>
  </si>
  <si>
    <r>
      <rPr>
        <sz val="14"/>
        <rFont val="Calibri"/>
        <family val="2"/>
        <charset val="204"/>
      </rPr>
      <t>стагнация или падение</t>
    </r>
  </si>
  <si>
    <r>
      <rPr>
        <b/>
        <sz val="14"/>
        <rFont val="Calibri"/>
        <family val="2"/>
        <charset val="204"/>
      </rPr>
      <t>ИТОГОВЫЙ БАЛЛ</t>
    </r>
  </si>
  <si>
    <r>
      <rPr>
        <b/>
        <sz val="14"/>
        <rFont val="Calibri"/>
        <family val="2"/>
        <charset val="204"/>
      </rPr>
      <t>8 баллов</t>
    </r>
  </si>
  <si>
    <r>
      <rPr>
        <sz val="14"/>
        <rFont val="Calibri"/>
        <family val="2"/>
        <charset val="204"/>
      </rPr>
      <t>Низкий уровень угрозы входа новых игроков</t>
    </r>
  </si>
  <si>
    <r>
      <rPr>
        <b/>
        <sz val="14"/>
        <rFont val="Calibri"/>
        <family val="2"/>
        <charset val="204"/>
      </rPr>
      <t>9-16 баллов</t>
    </r>
  </si>
  <si>
    <r>
      <rPr>
        <sz val="14"/>
        <rFont val="Calibri"/>
        <family val="2"/>
        <charset val="204"/>
      </rPr>
      <t>Средний уровень угрозы входа новых игроков</t>
    </r>
  </si>
  <si>
    <r>
      <rPr>
        <b/>
        <sz val="14"/>
        <rFont val="Calibri"/>
        <family val="2"/>
        <charset val="204"/>
      </rPr>
      <t>17-24 балла</t>
    </r>
  </si>
  <si>
    <r>
      <rPr>
        <sz val="14"/>
        <rFont val="Calibri"/>
        <family val="2"/>
        <charset val="204"/>
      </rPr>
      <t>Высокий уровень угрозы входа новых игроков</t>
    </r>
  </si>
  <si>
    <t>КЛИЕНТЫ</t>
  </si>
  <si>
    <t>Доля покупателей с большим объемом продаж</t>
  </si>
  <si>
    <t>Более 80% продаж приходится на нескольких клиентов</t>
  </si>
  <si>
    <t>Незначительная часть клиентов держит около 50% продаж</t>
  </si>
  <si>
    <t>Объем продаж равномерно распределен между всеми клиентами</t>
  </si>
  <si>
    <t>Склонность к переключению на товары субституты</t>
  </si>
  <si>
    <t>Товар компании не уникален, существуют полные аналоги</t>
  </si>
  <si>
    <t>Товар компании частично уникален, есть отличительные хар-ки, важные для клиентов</t>
  </si>
  <si>
    <t>Товар компании полностью уникален, аналогов нет</t>
  </si>
  <si>
    <t>Чувствительность к цене</t>
  </si>
  <si>
    <t>Покупатель всегда будет переключаться на товар с более низкой ценой</t>
  </si>
  <si>
    <t>Покупатель будет переключаться только при значимой разнице в цене</t>
  </si>
  <si>
    <t>Покупатель абсолютно не чувствителен к цене</t>
  </si>
  <si>
    <t>Потребители не удовлетворены качеством существующего на рынке</t>
  </si>
  <si>
    <t>Неудовлетворенность ключевыми характеристиками товара</t>
  </si>
  <si>
    <t>Неудовлетворенность второстепенными характеристиками товара</t>
  </si>
  <si>
    <t>Полная удовлетворенность качеством</t>
  </si>
  <si>
    <t>Низкий уровень угрозы ухода клиентов</t>
  </si>
  <si>
    <t>Средний уровень угрозы ухода клиентов</t>
  </si>
  <si>
    <t>Высокий уровень угрозы потери клиентов</t>
  </si>
  <si>
    <t>Количество поставщиков</t>
  </si>
  <si>
    <t>Незначительное количество поставщиков или монополия</t>
  </si>
  <si>
    <t>Широкий выбор поставщиков</t>
  </si>
  <si>
    <t>Ограниченность ресурсов поставщиков</t>
  </si>
  <si>
    <t>Ограниченность в объемах</t>
  </si>
  <si>
    <t>Неограниченность в объемах</t>
  </si>
  <si>
    <t>Издержки переключения</t>
  </si>
  <si>
    <t>Высокие издержки к переключению на других поставщиков</t>
  </si>
  <si>
    <t>Низкие издержки к переключению на других поставщиков</t>
  </si>
  <si>
    <t>Приоритетность направления для поставщика</t>
  </si>
  <si>
    <t>Низкая приоритетность отрасли для поставщика</t>
  </si>
  <si>
    <t>Высокая приоритетность отрасли для поставщика</t>
  </si>
  <si>
    <t>Низкий уровень влияния поставщиков</t>
  </si>
  <si>
    <t>5-6 баллов</t>
  </si>
  <si>
    <t>Средний уровень влияния поставщиков</t>
  </si>
  <si>
    <t>7-8 баллов</t>
  </si>
  <si>
    <t>Высокий уровень влияния поставщиков</t>
  </si>
  <si>
    <t>ПОСТАВЩИК</t>
  </si>
  <si>
    <t>Параметр</t>
  </si>
  <si>
    <t>Значение</t>
  </si>
  <si>
    <t>Описание</t>
  </si>
  <si>
    <t>Направления работ</t>
  </si>
  <si>
    <t>Угроза со стороны товаров-заменителей</t>
  </si>
  <si>
    <t>Компания обладает уникальным предложением на рынке, аналогов которому не существует</t>
  </si>
  <si>
    <t>Поддерживать и совершенствовать уникальность товара. Концентрировать все усилия на построении осведомленности об уникальном предложении.</t>
  </si>
  <si>
    <t>Угрозы внутриотраслевой конкуренции</t>
  </si>
  <si>
    <t>Средний</t>
  </si>
  <si>
    <t>Рынок компании является высоко конкурентным и перспективным. Отсутствует возможность полного сравнения товаров разных фирм. Есть ограничения в повышении цен.</t>
  </si>
  <si>
    <t>Проводить постоянный мониторинг предложений конкурентов. Развивать уникальность продукта и повышать воспринимаемую ценность товара. Снижать влияние ценовой конкуренции на продажи. Повышать уровень знания о товаре.</t>
  </si>
  <si>
    <t>Угроза со стороны новых игроков</t>
  </si>
  <si>
    <t>Высок риск входа новых игроков. Новые компании появляются постоянно из-за низких барьеров входа и низкого уровня первоначальных инвестиций.</t>
  </si>
  <si>
    <t>Проводить постоянный мониторинг появления новых компаний. Проведение акций, направленных на длительность контакта потребителя с компанией. Повышать уровень знания о товаре.</t>
  </si>
  <si>
    <t>Угроза потери текущих клиентов</t>
  </si>
  <si>
    <t>Портфель клиентов обладает средними рисками (при уходе ключевых клиентов - не значимое падение продаж). Существование менее качественных, но экономичных предложений. Неудовлетворенность текущим уровнем работ по отдельным направлениям.</t>
  </si>
  <si>
    <t>Диверсифицировать портфель клиентов. Разработать программы для VIP - клиентов. Разработать эконом-программы для потребителей, чувствительных к цене. Повышение качества товара по отстающим параметрам и т.д.</t>
  </si>
  <si>
    <t>Угроза нестабильности поставщиков</t>
  </si>
  <si>
    <t>Стабильность со стороны поставщиков</t>
  </si>
  <si>
    <t>Проведение переговоров о снижении цен</t>
  </si>
  <si>
    <t>РЕЗУЛЬТАТ</t>
  </si>
  <si>
    <t>№ Наименование этапа</t>
  </si>
  <si>
    <t>Дата начала</t>
  </si>
  <si>
    <t>Длительность</t>
  </si>
  <si>
    <t>Окончание</t>
  </si>
  <si>
    <t>1. Генерирование идеи</t>
  </si>
  <si>
    <t>2. Анализ конкурентной среды, целевой аудитории, разработка маркетинговой стратегии</t>
  </si>
  <si>
    <t>3. Разработка сайта</t>
  </si>
  <si>
    <t>4. Рекламная компания в интернете</t>
  </si>
  <si>
    <t>5. Государственная регистрация юридического лица</t>
  </si>
  <si>
    <t>6. Заключение договора аренды</t>
  </si>
  <si>
    <t>7. Проведение рекламной компании</t>
  </si>
  <si>
    <t>8. Покупка оборудования</t>
  </si>
  <si>
    <t>9. Открытие студии</t>
  </si>
  <si>
    <t>10. Достижение стабильного ежемесячного уровня продаж</t>
  </si>
  <si>
    <t>11. Расширение сети</t>
  </si>
  <si>
    <t xml:space="preserve">13 мес. </t>
  </si>
  <si>
    <t>Количество</t>
  </si>
  <si>
    <t>Ресепшн</t>
  </si>
  <si>
    <t>Диван</t>
  </si>
  <si>
    <t>Компьютер</t>
  </si>
  <si>
    <t>МФУ</t>
  </si>
  <si>
    <t>Wi-fi роутер</t>
  </si>
  <si>
    <t>Кулер</t>
  </si>
  <si>
    <t>Стеллаж</t>
  </si>
  <si>
    <t>Интерактивная доска</t>
  </si>
  <si>
    <t>Стулья</t>
  </si>
  <si>
    <t>Парты</t>
  </si>
  <si>
    <t xml:space="preserve">Наименование  </t>
  </si>
  <si>
    <t xml:space="preserve">Цена  </t>
  </si>
  <si>
    <t>Кол-во</t>
  </si>
  <si>
    <t xml:space="preserve">Сумма </t>
  </si>
  <si>
    <t>Учебная программа</t>
  </si>
  <si>
    <t>Группы в социальных сетях</t>
  </si>
  <si>
    <t>Сайт ОУ</t>
  </si>
  <si>
    <t xml:space="preserve">Реклама </t>
  </si>
  <si>
    <t>-таргетированная реклама в ВК</t>
  </si>
  <si>
    <t>-контекстная реклама в браузерах</t>
  </si>
  <si>
    <t xml:space="preserve">Должность </t>
  </si>
  <si>
    <t xml:space="preserve">Оклад </t>
  </si>
  <si>
    <t>Кол-во сотрудников</t>
  </si>
  <si>
    <t xml:space="preserve">Администратор </t>
  </si>
  <si>
    <t>13890руб/мес</t>
  </si>
  <si>
    <t>13890 руб/мес</t>
  </si>
  <si>
    <t xml:space="preserve">Бухгалтерия (аутсорсинг: «Бухгалтерия для ИП» Сбербанк) </t>
  </si>
  <si>
    <t>250руб/мес</t>
  </si>
  <si>
    <t>250 руб/мес</t>
  </si>
  <si>
    <t xml:space="preserve">Преподаватель </t>
  </si>
  <si>
    <t>50000 руб/мес</t>
  </si>
  <si>
    <t>Маркетолог + IT</t>
  </si>
  <si>
    <t>ДЛЯ ИП</t>
  </si>
  <si>
    <t>Страховые взносы</t>
  </si>
  <si>
    <t>Пенсионный фонд</t>
  </si>
  <si>
    <t>ФОМС</t>
  </si>
  <si>
    <t>ФСС</t>
  </si>
  <si>
    <t>5.1%</t>
  </si>
  <si>
    <t>2.9%</t>
  </si>
  <si>
    <t>3600,9руб/мес (43211 год)</t>
  </si>
  <si>
    <t>Отчисления на ЗП</t>
  </si>
  <si>
    <t>19805,9руб/мес</t>
  </si>
  <si>
    <t>87546,8руб/мес</t>
  </si>
  <si>
    <t>Первичная плата за аренду (предоплата на месяц) 600руб/м2 - 50м2</t>
  </si>
  <si>
    <t>ФОТ с начислениями</t>
  </si>
  <si>
    <t>Амортизация 20%</t>
  </si>
  <si>
    <t>2023г</t>
  </si>
  <si>
    <t>2024г</t>
  </si>
  <si>
    <t>Базовый курс</t>
  </si>
  <si>
    <t>14*4=56</t>
  </si>
  <si>
    <t>250руб</t>
  </si>
  <si>
    <t>450руб</t>
  </si>
  <si>
    <t>Углубленное изучение</t>
  </si>
  <si>
    <t>9*4</t>
  </si>
  <si>
    <t>500руб</t>
  </si>
  <si>
    <t>Профессиональные курсы</t>
  </si>
  <si>
    <t>7*4</t>
  </si>
  <si>
    <t>700руб.</t>
  </si>
  <si>
    <t>Проведение индивидуальных занятий</t>
  </si>
  <si>
    <t>800руб</t>
  </si>
  <si>
    <t>Таблица 17 – Календарный план работ для открытия школы, дни</t>
  </si>
  <si>
    <t>Таблица 3 – Трудовые ресурсы школы китайского языка "Тайфун", руб./мес.</t>
  </si>
  <si>
    <t>Таблица 8 - Стоимость оборудования школы китайского языка "Тайфун", руб.</t>
  </si>
  <si>
    <t>Таблица 13 – Затраты на рекламную компанию школы, руб.</t>
  </si>
  <si>
    <t>Таблица 24 - Смета первоначальных затрат школы "Тайфун"  на покупку оборудования и нематериальные активы, руб.</t>
  </si>
  <si>
    <t>Таблица 27 – Условно-переменные затраты студии «Тайфун», тыс. руб.</t>
  </si>
  <si>
    <t>Таблица 23 – Расчет выручки и планируемого усредненного количества посетителей студии «Тайфун»</t>
  </si>
  <si>
    <t>Таблица 16 – Ценообразование студии «Тайфун»</t>
  </si>
  <si>
    <t>9:00 — 10:00</t>
  </si>
  <si>
    <t>15:30 — 16:30</t>
  </si>
  <si>
    <t>17:00 — 18:00</t>
  </si>
  <si>
    <t>Таблица 7 – Время работы танцевальной студии  «Тайфун»                                                         преподаватель 1</t>
  </si>
  <si>
    <t>Время</t>
  </si>
  <si>
    <t>Пн</t>
  </si>
  <si>
    <t>пт</t>
  </si>
  <si>
    <t>Сб</t>
  </si>
  <si>
    <t>11:00 – 12:00</t>
  </si>
  <si>
    <t>12:30 — 13:30</t>
  </si>
  <si>
    <t>19:00 —20:00</t>
  </si>
  <si>
    <t>преподаватель 2</t>
  </si>
  <si>
    <t>сб</t>
  </si>
  <si>
    <t xml:space="preserve">10.30 - 11.30 </t>
  </si>
  <si>
    <t>Амортизационные отчисления  (1,67% в месяц)</t>
  </si>
  <si>
    <t>Таблица 28 - Отчет о движении денежных средств за 2022г, руб.</t>
  </si>
  <si>
    <t>Таблица 29 - Отчет о движении денежных средств за 2023г, руб.</t>
  </si>
  <si>
    <t>Таблица 30 - Отчет о движении денежных средств за 2024г, руб.</t>
  </si>
  <si>
    <t>Прогноз 2023г</t>
  </si>
  <si>
    <t>Прогноз 2024г</t>
  </si>
  <si>
    <t>Остаток денежных средств на конец  2022г</t>
  </si>
  <si>
    <t>Остаток денежных средств на конец  2023г</t>
  </si>
  <si>
    <t>Налогооблагаемая база 15%</t>
  </si>
  <si>
    <t>Таблица 32 - Отчет о финансовых результатах студии за 2023г, руб.</t>
  </si>
  <si>
    <t>Таблица 33 - Отчет о финансовых результатах студии за 2024г, руб.</t>
  </si>
  <si>
    <t>Таблица 31 - Отчет о финансовых результатах студии за 2022г, руб.</t>
  </si>
  <si>
    <t>Сд = 20% + 1% + 0% + 1% + 1% = 23%.</t>
  </si>
  <si>
    <r>
      <t>2632500 / (1,23)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= 2140243,9</t>
    </r>
  </si>
  <si>
    <r>
      <t>9009000 / (1,23)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= 5954788,8</t>
    </r>
  </si>
  <si>
    <r>
      <t>9828000 / (1,23)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=5281409,1</t>
    </r>
  </si>
  <si>
    <t xml:space="preserve">2140243,9 - 138000 = </t>
  </si>
  <si>
    <t xml:space="preserve">2140243,9 +5954788,8- 138000 = </t>
  </si>
  <si>
    <t xml:space="preserve">2140243,9 +5954788,8+5281409,1- 138000 = </t>
  </si>
  <si>
    <t>NPV = 13238441,8</t>
  </si>
  <si>
    <t>Pi-= 1 + 13238441,8/138000=96,93</t>
  </si>
  <si>
    <t xml:space="preserve">2 месяца (июнь 2022г). </t>
  </si>
  <si>
    <t>6. Ставка дисконтирования (рефинансирования), %. (кумулятивный метод)
БСЦБ – учетная ставка Центробанка;
Ро – риски, свойственные для определенных отраслей
Рс – риск конкретной страны, где предусматривается внедрение проекта; 
Рн – риск возможной низкой стоимости (неликвидности) начинания; 
Ру – риск от недостаточно качественного менеджмента. 
Сд = 17% + 1% + 3% + 1% + 1% = 23%.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</si>
</sst>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20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202124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9" fontId="0" fillId="0" borderId="2" xfId="0" applyNumberFormat="1" applyBorder="1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9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2" xfId="0" applyNumberForma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wrapText="1"/>
    </xf>
    <xf numFmtId="0" fontId="8" fillId="5" borderId="24" xfId="0" applyFont="1" applyFill="1" applyBorder="1" applyAlignment="1">
      <alignment horizontal="left" vertical="top"/>
    </xf>
    <xf numFmtId="0" fontId="8" fillId="5" borderId="2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top" indent="1"/>
    </xf>
    <xf numFmtId="0" fontId="7" fillId="4" borderId="25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left" vertical="top" wrapText="1"/>
    </xf>
    <xf numFmtId="0" fontId="10" fillId="4" borderId="25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8" fillId="5" borderId="24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3" fontId="4" fillId="0" borderId="16" xfId="0" applyNumberFormat="1" applyFont="1" applyBorder="1" applyAlignment="1">
      <alignment horizontal="justify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10" borderId="15" xfId="0" applyFont="1" applyFill="1" applyBorder="1" applyAlignment="1">
      <alignment horizontal="justify" vertical="center" wrapText="1"/>
    </xf>
    <xf numFmtId="0" fontId="4" fillId="10" borderId="16" xfId="0" applyFont="1" applyFill="1" applyBorder="1" applyAlignment="1">
      <alignment horizontal="justify" vertical="center" wrapText="1"/>
    </xf>
    <xf numFmtId="9" fontId="4" fillId="0" borderId="45" xfId="0" applyNumberFormat="1" applyFont="1" applyBorder="1" applyAlignment="1">
      <alignment horizontal="justify" vertical="center" wrapText="1"/>
    </xf>
    <xf numFmtId="0" fontId="0" fillId="0" borderId="16" xfId="0" applyBorder="1" applyAlignment="1">
      <alignment vertical="top" wrapText="1"/>
    </xf>
    <xf numFmtId="0" fontId="15" fillId="0" borderId="16" xfId="0" applyFont="1" applyBorder="1" applyAlignment="1">
      <alignment horizontal="justify" vertical="center" wrapText="1"/>
    </xf>
    <xf numFmtId="3" fontId="4" fillId="9" borderId="16" xfId="0" applyNumberFormat="1" applyFont="1" applyFill="1" applyBorder="1" applyAlignment="1">
      <alignment horizontal="justify" vertical="center" wrapText="1"/>
    </xf>
    <xf numFmtId="3" fontId="4" fillId="9" borderId="16" xfId="0" applyNumberFormat="1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justify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47" xfId="0" applyFont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11" borderId="0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12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9" fontId="5" fillId="0" borderId="1" xfId="0" applyNumberFormat="1" applyFont="1" applyBorder="1"/>
    <xf numFmtId="0" fontId="0" fillId="10" borderId="0" xfId="0" applyFill="1"/>
    <xf numFmtId="0" fontId="8" fillId="8" borderId="42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wrapText="1"/>
    </xf>
    <xf numFmtId="0" fontId="11" fillId="7" borderId="29" xfId="0" applyFont="1" applyFill="1" applyBorder="1" applyAlignment="1">
      <alignment horizontal="center" wrapText="1"/>
    </xf>
    <xf numFmtId="0" fontId="11" fillId="8" borderId="31" xfId="0" applyFont="1" applyFill="1" applyBorder="1" applyAlignment="1">
      <alignment horizontal="center" wrapText="1"/>
    </xf>
    <xf numFmtId="0" fontId="11" fillId="8" borderId="3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wrapText="1"/>
    </xf>
    <xf numFmtId="0" fontId="10" fillId="5" borderId="27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0" fontId="11" fillId="6" borderId="29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7" fillId="4" borderId="22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2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6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15" fillId="0" borderId="46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'Лист 1 - Данные для расчета'!$B$131</c:f>
              <c:strCache>
                <c:ptCount val="1"/>
                <c:pt idx="0">
                  <c:v>Дата начала</c:v>
                </c:pt>
              </c:strCache>
            </c:strRef>
          </c:tx>
          <c:spPr>
            <a:noFill/>
          </c:spPr>
          <c:invertIfNegative val="0"/>
          <c:cat>
            <c:strRef>
              <c:f>'Лист 1 - Данные для расчета'!$A$132:$A$142</c:f>
              <c:strCache>
                <c:ptCount val="11"/>
                <c:pt idx="0">
                  <c:v>1. Генерирование идеи</c:v>
                </c:pt>
                <c:pt idx="1">
                  <c:v>2. Анализ конкурентной среды, целевой аудитории, разработка маркетинговой стратегии</c:v>
                </c:pt>
                <c:pt idx="2">
                  <c:v>3. Разработка сайта</c:v>
                </c:pt>
                <c:pt idx="3">
                  <c:v>4. Рекламная компания в интернете</c:v>
                </c:pt>
                <c:pt idx="4">
                  <c:v>5. Государственная регистрация юридического лица</c:v>
                </c:pt>
                <c:pt idx="5">
                  <c:v>6. Заключение договора аренды</c:v>
                </c:pt>
                <c:pt idx="6">
                  <c:v>7. Проведение рекламной компании</c:v>
                </c:pt>
                <c:pt idx="7">
                  <c:v>8. Покупка оборудования</c:v>
                </c:pt>
                <c:pt idx="8">
                  <c:v>9. Открытие студии</c:v>
                </c:pt>
                <c:pt idx="9">
                  <c:v>10. Достижение стабильного ежемесячного уровня продаж</c:v>
                </c:pt>
                <c:pt idx="10">
                  <c:v>11. Расширение сети</c:v>
                </c:pt>
              </c:strCache>
            </c:strRef>
          </c:cat>
          <c:val>
            <c:numRef>
              <c:f>'Лист 1 - Данные для расчета'!$B$132:$B$142</c:f>
              <c:numCache>
                <c:formatCode>m/d/yyyy</c:formatCode>
                <c:ptCount val="11"/>
                <c:pt idx="0">
                  <c:v>44590</c:v>
                </c:pt>
                <c:pt idx="1">
                  <c:v>44593</c:v>
                </c:pt>
                <c:pt idx="2">
                  <c:v>44604</c:v>
                </c:pt>
                <c:pt idx="3">
                  <c:v>44637</c:v>
                </c:pt>
                <c:pt idx="4">
                  <c:v>44671</c:v>
                </c:pt>
                <c:pt idx="5">
                  <c:v>44672</c:v>
                </c:pt>
                <c:pt idx="6">
                  <c:v>44676</c:v>
                </c:pt>
                <c:pt idx="7">
                  <c:v>44691</c:v>
                </c:pt>
                <c:pt idx="8">
                  <c:v>44676</c:v>
                </c:pt>
                <c:pt idx="9">
                  <c:v>44705</c:v>
                </c:pt>
                <c:pt idx="10">
                  <c:v>44805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F-4F22-8058-95CCC0B2E0A5}"/>
            </c:ext>
          </c:extLst>
        </c:ser>
        <c:ser>
          <c:idx val="1"/>
          <c:order val="1"/>
          <c:tx>
            <c:strRef>
              <c:f>'Лист 1 - Данные для расчета'!$C$131</c:f>
              <c:strCache>
                <c:ptCount val="1"/>
                <c:pt idx="0">
                  <c:v>Длительность</c:v>
                </c:pt>
              </c:strCache>
            </c:strRef>
          </c:tx>
          <c:invertIfNegative val="0"/>
          <c:cat>
            <c:strRef>
              <c:f>'Лист 1 - Данные для расчета'!$A$132:$A$142</c:f>
              <c:strCache>
                <c:ptCount val="11"/>
                <c:pt idx="0">
                  <c:v>1. Генерирование идеи</c:v>
                </c:pt>
                <c:pt idx="1">
                  <c:v>2. Анализ конкурентной среды, целевой аудитории, разработка маркетинговой стратегии</c:v>
                </c:pt>
                <c:pt idx="2">
                  <c:v>3. Разработка сайта</c:v>
                </c:pt>
                <c:pt idx="3">
                  <c:v>4. Рекламная компания в интернете</c:v>
                </c:pt>
                <c:pt idx="4">
                  <c:v>5. Государственная регистрация юридического лица</c:v>
                </c:pt>
                <c:pt idx="5">
                  <c:v>6. Заключение договора аренды</c:v>
                </c:pt>
                <c:pt idx="6">
                  <c:v>7. Проведение рекламной компании</c:v>
                </c:pt>
                <c:pt idx="7">
                  <c:v>8. Покупка оборудования</c:v>
                </c:pt>
                <c:pt idx="8">
                  <c:v>9. Открытие студии</c:v>
                </c:pt>
                <c:pt idx="9">
                  <c:v>10. Достижение стабильного ежемесячного уровня продаж</c:v>
                </c:pt>
                <c:pt idx="10">
                  <c:v>11. Расширение сети</c:v>
                </c:pt>
              </c:strCache>
            </c:strRef>
          </c:cat>
          <c:val>
            <c:numRef>
              <c:f>'Лист 1 - Данные для расчета'!$C$132:$C$142</c:f>
              <c:numCache>
                <c:formatCode>General</c:formatCode>
                <c:ptCount val="11"/>
                <c:pt idx="0">
                  <c:v>3</c:v>
                </c:pt>
                <c:pt idx="1">
                  <c:v>9</c:v>
                </c:pt>
                <c:pt idx="2">
                  <c:v>30</c:v>
                </c:pt>
                <c:pt idx="3">
                  <c:v>29</c:v>
                </c:pt>
                <c:pt idx="4">
                  <c:v>7</c:v>
                </c:pt>
                <c:pt idx="5">
                  <c:v>2</c:v>
                </c:pt>
                <c:pt idx="6">
                  <c:v>30</c:v>
                </c:pt>
                <c:pt idx="7">
                  <c:v>14</c:v>
                </c:pt>
                <c:pt idx="8">
                  <c:v>60</c:v>
                </c:pt>
                <c:pt idx="9">
                  <c:v>90</c:v>
                </c:pt>
                <c:pt idx="10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1F-4F22-8058-95CCC0B2E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401664"/>
        <c:axId val="95105536"/>
        <c:axId val="0"/>
      </c:bar3DChart>
      <c:catAx>
        <c:axId val="84401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5105536"/>
        <c:crosses val="autoZero"/>
        <c:auto val="1"/>
        <c:lblAlgn val="ctr"/>
        <c:lblOffset val="100"/>
        <c:noMultiLvlLbl val="0"/>
      </c:catAx>
      <c:valAx>
        <c:axId val="95105536"/>
        <c:scaling>
          <c:orientation val="minMax"/>
          <c:min val="43770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84401664"/>
        <c:crosses val="autoZero"/>
        <c:crossBetween val="between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129</xdr:row>
      <xdr:rowOff>157161</xdr:rowOff>
    </xdr:from>
    <xdr:to>
      <xdr:col>12</xdr:col>
      <xdr:colOff>2266949</xdr:colOff>
      <xdr:row>145</xdr:row>
      <xdr:rowOff>161924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133" workbookViewId="0">
      <selection activeCell="B21" sqref="B21"/>
    </sheetView>
  </sheetViews>
  <sheetFormatPr defaultRowHeight="15" x14ac:dyDescent="0.25"/>
  <cols>
    <col min="1" max="1" width="73.85546875" customWidth="1"/>
    <col min="2" max="2" width="33" customWidth="1"/>
    <col min="3" max="3" width="33.85546875" customWidth="1"/>
    <col min="4" max="4" width="32.140625" customWidth="1"/>
    <col min="9" max="9" width="6.5703125" customWidth="1"/>
    <col min="10" max="10" width="28.5703125" customWidth="1"/>
    <col min="11" max="11" width="30.42578125" customWidth="1"/>
    <col min="12" max="12" width="39.42578125" customWidth="1"/>
    <col min="13" max="13" width="41.28515625" customWidth="1"/>
  </cols>
  <sheetData>
    <row r="1" spans="1:13" ht="15.75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3" ht="15.6" x14ac:dyDescent="0.3">
      <c r="A2" s="1"/>
    </row>
    <row r="3" spans="1:13" ht="15.6" x14ac:dyDescent="0.3">
      <c r="A3" s="1"/>
    </row>
    <row r="4" spans="1:13" ht="15.75" x14ac:dyDescent="0.25">
      <c r="A4" s="2" t="s">
        <v>3</v>
      </c>
      <c r="B4" s="89">
        <v>690000</v>
      </c>
    </row>
    <row r="5" spans="1:13" ht="15.75" x14ac:dyDescent="0.25">
      <c r="A5" s="2" t="s">
        <v>1</v>
      </c>
      <c r="B5" s="11">
        <f>552000</f>
        <v>552000</v>
      </c>
      <c r="C5">
        <f>B5+B6</f>
        <v>690000</v>
      </c>
    </row>
    <row r="6" spans="1:13" ht="15.75" x14ac:dyDescent="0.25">
      <c r="A6" s="2" t="s">
        <v>2</v>
      </c>
      <c r="B6" s="11">
        <v>138000</v>
      </c>
    </row>
    <row r="7" spans="1:13" ht="15.75" x14ac:dyDescent="0.25">
      <c r="A7" s="2" t="s">
        <v>4</v>
      </c>
      <c r="B7" s="11" t="s">
        <v>429</v>
      </c>
    </row>
    <row r="8" spans="1:13" ht="16.5" thickBot="1" x14ac:dyDescent="0.3">
      <c r="A8" s="2" t="s">
        <v>5</v>
      </c>
      <c r="B8" s="88" t="s">
        <v>324</v>
      </c>
      <c r="I8" s="10" t="s">
        <v>427</v>
      </c>
    </row>
    <row r="9" spans="1:13" ht="33" customHeight="1" thickBot="1" x14ac:dyDescent="0.3">
      <c r="A9" s="2" t="s">
        <v>8</v>
      </c>
      <c r="B9" s="11"/>
      <c r="G9" s="3" t="s">
        <v>9</v>
      </c>
      <c r="I9" s="6" t="s">
        <v>13</v>
      </c>
      <c r="J9" s="7" t="s">
        <v>14</v>
      </c>
      <c r="K9" s="7" t="s">
        <v>15</v>
      </c>
      <c r="L9" s="7" t="s">
        <v>16</v>
      </c>
      <c r="M9" s="7" t="s">
        <v>17</v>
      </c>
    </row>
    <row r="10" spans="1:13" ht="16.5" thickBot="1" x14ac:dyDescent="0.3">
      <c r="A10" s="2" t="s">
        <v>7</v>
      </c>
      <c r="B10" s="11">
        <v>6</v>
      </c>
      <c r="G10" s="3">
        <v>-138000</v>
      </c>
      <c r="I10" s="8">
        <v>0</v>
      </c>
      <c r="J10" s="9">
        <v>552000</v>
      </c>
      <c r="K10" s="9" t="s">
        <v>18</v>
      </c>
      <c r="L10" s="9">
        <v>-138000</v>
      </c>
      <c r="M10" s="9">
        <v>-138000</v>
      </c>
    </row>
    <row r="11" spans="1:13" ht="18" thickBot="1" x14ac:dyDescent="0.3">
      <c r="A11" s="2" t="s">
        <v>372</v>
      </c>
      <c r="B11" s="11">
        <v>6</v>
      </c>
      <c r="G11" s="3">
        <v>2632500</v>
      </c>
      <c r="I11" s="8">
        <v>1</v>
      </c>
      <c r="J11" s="9" t="s">
        <v>18</v>
      </c>
      <c r="K11" s="9">
        <v>2632500</v>
      </c>
      <c r="L11" s="9" t="s">
        <v>421</v>
      </c>
      <c r="M11" s="9" t="s">
        <v>424</v>
      </c>
    </row>
    <row r="12" spans="1:13" ht="18" thickBot="1" x14ac:dyDescent="0.3">
      <c r="A12" s="2" t="s">
        <v>373</v>
      </c>
      <c r="B12" s="11">
        <v>6</v>
      </c>
      <c r="G12" s="3">
        <v>9009000</v>
      </c>
      <c r="I12" s="8">
        <v>2</v>
      </c>
      <c r="J12" s="9" t="s">
        <v>18</v>
      </c>
      <c r="K12" s="9">
        <v>9009000</v>
      </c>
      <c r="L12" s="9" t="s">
        <v>422</v>
      </c>
      <c r="M12" s="9" t="s">
        <v>425</v>
      </c>
    </row>
    <row r="13" spans="1:13" ht="18" thickBot="1" x14ac:dyDescent="0.3">
      <c r="A13" s="2" t="s">
        <v>6</v>
      </c>
      <c r="B13" s="12"/>
      <c r="G13" s="3">
        <v>9828000</v>
      </c>
      <c r="I13" s="8">
        <v>3</v>
      </c>
      <c r="J13" s="9" t="s">
        <v>18</v>
      </c>
      <c r="K13" s="9">
        <v>9828000</v>
      </c>
      <c r="L13" s="9" t="s">
        <v>423</v>
      </c>
      <c r="M13" s="9" t="s">
        <v>426</v>
      </c>
    </row>
    <row r="14" spans="1:13" ht="15.75" x14ac:dyDescent="0.25">
      <c r="A14" s="2" t="s">
        <v>7</v>
      </c>
      <c r="B14" s="4">
        <f>Лист8!P16</f>
        <v>-373490.5</v>
      </c>
      <c r="G14" s="5">
        <f>IRR(G10:G13,9)+IRR(G10:G13,0.23)</f>
        <v>42.332354902685246</v>
      </c>
    </row>
    <row r="15" spans="1:13" ht="15.75" x14ac:dyDescent="0.25">
      <c r="A15" s="2" t="s">
        <v>372</v>
      </c>
      <c r="B15" s="4">
        <f>Лист8!P30</f>
        <v>290522.00000000012</v>
      </c>
      <c r="I15" s="10" t="s">
        <v>428</v>
      </c>
    </row>
    <row r="16" spans="1:13" ht="15.75" x14ac:dyDescent="0.25">
      <c r="A16" s="2" t="s">
        <v>373</v>
      </c>
      <c r="B16" s="4">
        <f>Лист8!P45</f>
        <v>441582.00000000006</v>
      </c>
      <c r="I16">
        <f>1 + 13238441.8/138000</f>
        <v>96.930737681159428</v>
      </c>
    </row>
    <row r="17" spans="1:13" ht="124.5" customHeight="1" x14ac:dyDescent="0.25">
      <c r="A17" s="2" t="s">
        <v>430</v>
      </c>
      <c r="B17" s="89">
        <v>23</v>
      </c>
    </row>
    <row r="18" spans="1:13" ht="16.5" thickBot="1" x14ac:dyDescent="0.3">
      <c r="A18" s="2" t="s">
        <v>10</v>
      </c>
      <c r="B18" s="12">
        <f>'Лист10 Показатели деятельности '!C35</f>
        <v>3402321.1090000002</v>
      </c>
      <c r="L18">
        <f>K11/1.23</f>
        <v>2140243.9024390243</v>
      </c>
      <c r="M18" s="9">
        <f>2140243.9 - 138000</f>
        <v>2002243.9</v>
      </c>
    </row>
    <row r="19" spans="1:13" ht="16.5" thickBot="1" x14ac:dyDescent="0.3">
      <c r="A19" s="2" t="s">
        <v>11</v>
      </c>
      <c r="B19" s="12">
        <f>'Лист10 Показатели деятельности '!C36</f>
        <v>20.010000000000002</v>
      </c>
      <c r="L19">
        <f>K12/(1.23*1.23)</f>
        <v>5954788.8161808448</v>
      </c>
      <c r="M19" s="9">
        <f>2140243.9 +5954788.8- 138000</f>
        <v>7957032.6999999993</v>
      </c>
    </row>
    <row r="20" spans="1:13" ht="16.5" thickBot="1" x14ac:dyDescent="0.3">
      <c r="A20" s="2" t="s">
        <v>12</v>
      </c>
      <c r="B20" s="214">
        <f>'Лист10 Показатели деятельности '!C37</f>
        <v>3.3</v>
      </c>
      <c r="L20">
        <f>K13/(1.23*1.23*1.23)</f>
        <v>5281409.1496060714</v>
      </c>
      <c r="M20" s="9">
        <f>2140243.9 +5954788.8+5281409.1- 138000</f>
        <v>13238441.799999999</v>
      </c>
    </row>
    <row r="21" spans="1:13" ht="15.6" x14ac:dyDescent="0.3">
      <c r="A21" s="1"/>
    </row>
    <row r="22" spans="1:13" ht="15.6" x14ac:dyDescent="0.3">
      <c r="A22" s="1"/>
    </row>
    <row r="23" spans="1:13" ht="15.6" x14ac:dyDescent="0.3">
      <c r="A23" s="1"/>
    </row>
    <row r="24" spans="1:13" ht="15.6" x14ac:dyDescent="0.3">
      <c r="A24" s="1"/>
    </row>
    <row r="25" spans="1:13" ht="15.75" x14ac:dyDescent="0.25">
      <c r="A25" s="1" t="s">
        <v>163</v>
      </c>
    </row>
    <row r="26" spans="1:13" ht="15.75" x14ac:dyDescent="0.25">
      <c r="A26" s="76" t="s">
        <v>181</v>
      </c>
    </row>
    <row r="27" spans="1:13" ht="15.6" x14ac:dyDescent="0.3">
      <c r="A27" s="1"/>
    </row>
    <row r="28" spans="1:13" ht="18.75" x14ac:dyDescent="0.25">
      <c r="A28" s="163" t="s">
        <v>164</v>
      </c>
      <c r="B28" s="152" t="s">
        <v>165</v>
      </c>
      <c r="C28" s="192"/>
      <c r="D28" s="153"/>
    </row>
    <row r="29" spans="1:13" ht="18.75" x14ac:dyDescent="0.25">
      <c r="A29" s="163"/>
      <c r="B29" s="47" t="s">
        <v>166</v>
      </c>
      <c r="C29" s="47" t="s">
        <v>167</v>
      </c>
      <c r="D29" s="47" t="s">
        <v>168</v>
      </c>
    </row>
    <row r="30" spans="1:13" ht="56.25" x14ac:dyDescent="0.25">
      <c r="A30" s="164" t="s">
        <v>169</v>
      </c>
      <c r="B30" s="48" t="s">
        <v>170</v>
      </c>
      <c r="C30" s="48" t="s">
        <v>171</v>
      </c>
      <c r="D30" s="48" t="s">
        <v>172</v>
      </c>
    </row>
    <row r="31" spans="1:13" ht="19.5" thickBot="1" x14ac:dyDescent="0.3">
      <c r="A31" s="154"/>
      <c r="B31" s="49">
        <v>3</v>
      </c>
      <c r="C31" s="49"/>
      <c r="D31" s="49"/>
    </row>
    <row r="32" spans="1:13" ht="18.75" x14ac:dyDescent="0.3">
      <c r="A32" s="50" t="s">
        <v>174</v>
      </c>
      <c r="B32" s="193">
        <v>3</v>
      </c>
      <c r="C32" s="193"/>
      <c r="D32" s="194"/>
    </row>
    <row r="33" spans="1:4" ht="18.75" x14ac:dyDescent="0.25">
      <c r="A33" s="51" t="s">
        <v>175</v>
      </c>
      <c r="B33" s="167" t="s">
        <v>176</v>
      </c>
      <c r="C33" s="167"/>
      <c r="D33" s="168"/>
    </row>
    <row r="34" spans="1:4" ht="18.75" x14ac:dyDescent="0.25">
      <c r="A34" s="52" t="s">
        <v>177</v>
      </c>
      <c r="B34" s="159" t="s">
        <v>178</v>
      </c>
      <c r="C34" s="159"/>
      <c r="D34" s="160"/>
    </row>
    <row r="35" spans="1:4" ht="19.5" thickBot="1" x14ac:dyDescent="0.3">
      <c r="A35" s="53" t="s">
        <v>179</v>
      </c>
      <c r="B35" s="161" t="s">
        <v>180</v>
      </c>
      <c r="C35" s="161"/>
      <c r="D35" s="162"/>
    </row>
    <row r="37" spans="1:4" x14ac:dyDescent="0.25">
      <c r="A37" s="75" t="s">
        <v>182</v>
      </c>
    </row>
    <row r="39" spans="1:4" ht="18.75" x14ac:dyDescent="0.25">
      <c r="A39" s="190" t="s">
        <v>164</v>
      </c>
      <c r="B39" s="190" t="s">
        <v>165</v>
      </c>
      <c r="C39" s="190"/>
      <c r="D39" s="190"/>
    </row>
    <row r="40" spans="1:4" ht="18.75" x14ac:dyDescent="0.25">
      <c r="A40" s="190"/>
      <c r="B40" s="54" t="s">
        <v>166</v>
      </c>
      <c r="C40" s="54" t="s">
        <v>167</v>
      </c>
      <c r="D40" s="54" t="s">
        <v>168</v>
      </c>
    </row>
    <row r="41" spans="1:4" ht="37.5" x14ac:dyDescent="0.25">
      <c r="A41" s="186" t="s">
        <v>183</v>
      </c>
      <c r="B41" s="48" t="s">
        <v>184</v>
      </c>
      <c r="C41" s="48" t="s">
        <v>185</v>
      </c>
      <c r="D41" s="48" t="s">
        <v>186</v>
      </c>
    </row>
    <row r="42" spans="1:4" ht="18.75" x14ac:dyDescent="0.25">
      <c r="A42" s="186"/>
      <c r="B42" s="48"/>
      <c r="C42" s="48"/>
      <c r="D42" s="48" t="s">
        <v>173</v>
      </c>
    </row>
    <row r="43" spans="1:4" ht="37.5" x14ac:dyDescent="0.25">
      <c r="A43" s="186" t="s">
        <v>187</v>
      </c>
      <c r="B43" s="48" t="s">
        <v>188</v>
      </c>
      <c r="C43" s="48" t="s">
        <v>189</v>
      </c>
      <c r="D43" s="48" t="s">
        <v>190</v>
      </c>
    </row>
    <row r="44" spans="1:4" ht="18.75" x14ac:dyDescent="0.3">
      <c r="A44" s="186"/>
      <c r="B44" s="55"/>
      <c r="C44" s="56"/>
      <c r="D44" s="57" t="s">
        <v>173</v>
      </c>
    </row>
    <row r="45" spans="1:4" ht="93.75" x14ac:dyDescent="0.25">
      <c r="A45" s="164" t="s">
        <v>191</v>
      </c>
      <c r="B45" s="48" t="s">
        <v>192</v>
      </c>
      <c r="C45" s="48" t="s">
        <v>193</v>
      </c>
      <c r="D45" s="48" t="s">
        <v>194</v>
      </c>
    </row>
    <row r="46" spans="1:4" ht="18.75" x14ac:dyDescent="0.3">
      <c r="A46" s="164"/>
      <c r="B46" s="56"/>
      <c r="C46" s="55" t="s">
        <v>173</v>
      </c>
      <c r="D46" s="57"/>
    </row>
    <row r="47" spans="1:4" ht="75" x14ac:dyDescent="0.25">
      <c r="A47" s="154" t="s">
        <v>195</v>
      </c>
      <c r="B47" s="48" t="s">
        <v>196</v>
      </c>
      <c r="C47" s="48" t="s">
        <v>197</v>
      </c>
      <c r="D47" s="48" t="s">
        <v>198</v>
      </c>
    </row>
    <row r="48" spans="1:4" ht="19.5" thickBot="1" x14ac:dyDescent="0.3">
      <c r="A48" s="187"/>
      <c r="B48" s="58"/>
      <c r="C48" s="59" t="s">
        <v>173</v>
      </c>
      <c r="D48" s="60"/>
    </row>
    <row r="49" spans="1:4" ht="26.25" x14ac:dyDescent="0.4">
      <c r="A49" s="61" t="s">
        <v>174</v>
      </c>
      <c r="B49" s="188">
        <v>6</v>
      </c>
      <c r="C49" s="188"/>
      <c r="D49" s="189"/>
    </row>
    <row r="50" spans="1:4" ht="18.75" x14ac:dyDescent="0.25">
      <c r="A50" s="62" t="s">
        <v>199</v>
      </c>
      <c r="B50" s="179" t="s">
        <v>200</v>
      </c>
      <c r="C50" s="179"/>
      <c r="D50" s="180"/>
    </row>
    <row r="51" spans="1:4" ht="18.75" x14ac:dyDescent="0.25">
      <c r="A51" s="63" t="s">
        <v>201</v>
      </c>
      <c r="B51" s="181" t="s">
        <v>202</v>
      </c>
      <c r="C51" s="181"/>
      <c r="D51" s="182"/>
    </row>
    <row r="52" spans="1:4" ht="19.5" thickBot="1" x14ac:dyDescent="0.3">
      <c r="A52" s="64" t="s">
        <v>203</v>
      </c>
      <c r="B52" s="183" t="s">
        <v>204</v>
      </c>
      <c r="C52" s="183"/>
      <c r="D52" s="184"/>
    </row>
    <row r="54" spans="1:4" x14ac:dyDescent="0.25">
      <c r="A54" s="75" t="s">
        <v>205</v>
      </c>
    </row>
    <row r="56" spans="1:4" ht="18" x14ac:dyDescent="0.25">
      <c r="A56" s="185" t="s">
        <v>206</v>
      </c>
      <c r="B56" s="185" t="s">
        <v>207</v>
      </c>
      <c r="C56" s="185"/>
      <c r="D56" s="185"/>
    </row>
    <row r="57" spans="1:4" ht="18.75" x14ac:dyDescent="0.25">
      <c r="A57" s="185"/>
      <c r="B57" s="65" t="s">
        <v>208</v>
      </c>
      <c r="C57" s="65" t="s">
        <v>209</v>
      </c>
      <c r="D57" s="65" t="s">
        <v>210</v>
      </c>
    </row>
    <row r="58" spans="1:4" ht="37.5" x14ac:dyDescent="0.25">
      <c r="A58" s="173" t="s">
        <v>211</v>
      </c>
      <c r="B58" s="66" t="s">
        <v>212</v>
      </c>
      <c r="C58" s="66" t="s">
        <v>213</v>
      </c>
      <c r="D58" s="66" t="s">
        <v>214</v>
      </c>
    </row>
    <row r="59" spans="1:4" ht="18" x14ac:dyDescent="0.25">
      <c r="A59" s="173"/>
      <c r="B59" s="67"/>
      <c r="C59" s="66" t="s">
        <v>173</v>
      </c>
      <c r="D59" s="67"/>
    </row>
    <row r="60" spans="1:4" ht="37.5" x14ac:dyDescent="0.25">
      <c r="A60" s="173" t="s">
        <v>215</v>
      </c>
      <c r="B60" s="66" t="s">
        <v>216</v>
      </c>
      <c r="C60" s="48" t="s">
        <v>217</v>
      </c>
      <c r="D60" s="66" t="s">
        <v>218</v>
      </c>
    </row>
    <row r="61" spans="1:4" ht="18" x14ac:dyDescent="0.25">
      <c r="A61" s="173"/>
      <c r="B61" s="68"/>
      <c r="C61" s="67"/>
      <c r="D61" s="67" t="s">
        <v>173</v>
      </c>
    </row>
    <row r="62" spans="1:4" ht="37.5" x14ac:dyDescent="0.25">
      <c r="A62" s="173" t="s">
        <v>219</v>
      </c>
      <c r="B62" s="66" t="s">
        <v>220</v>
      </c>
      <c r="C62" s="66" t="s">
        <v>221</v>
      </c>
      <c r="D62" s="66" t="s">
        <v>222</v>
      </c>
    </row>
    <row r="63" spans="1:4" ht="18" x14ac:dyDescent="0.25">
      <c r="A63" s="173"/>
      <c r="B63" s="67"/>
      <c r="C63" s="66" t="s">
        <v>173</v>
      </c>
      <c r="D63" s="67"/>
    </row>
    <row r="64" spans="1:4" ht="37.5" x14ac:dyDescent="0.25">
      <c r="A64" s="173" t="s">
        <v>223</v>
      </c>
      <c r="B64" s="66" t="s">
        <v>224</v>
      </c>
      <c r="C64" s="66" t="s">
        <v>225</v>
      </c>
      <c r="D64" s="66" t="s">
        <v>226</v>
      </c>
    </row>
    <row r="65" spans="1:4" ht="18" x14ac:dyDescent="0.25">
      <c r="A65" s="173"/>
      <c r="B65" s="66"/>
      <c r="C65" s="67" t="s">
        <v>173</v>
      </c>
      <c r="D65" s="67"/>
    </row>
    <row r="66" spans="1:4" ht="56.25" x14ac:dyDescent="0.25">
      <c r="A66" s="173" t="s">
        <v>227</v>
      </c>
      <c r="B66" s="66" t="s">
        <v>228</v>
      </c>
      <c r="C66" s="66" t="s">
        <v>229</v>
      </c>
      <c r="D66" s="66" t="s">
        <v>230</v>
      </c>
    </row>
    <row r="67" spans="1:4" ht="18" x14ac:dyDescent="0.25">
      <c r="A67" s="173"/>
      <c r="B67" s="66" t="s">
        <v>173</v>
      </c>
      <c r="C67" s="66"/>
      <c r="D67" s="66"/>
    </row>
    <row r="68" spans="1:4" ht="75" x14ac:dyDescent="0.25">
      <c r="A68" s="173" t="s">
        <v>231</v>
      </c>
      <c r="B68" s="66" t="s">
        <v>232</v>
      </c>
      <c r="C68" s="66" t="s">
        <v>233</v>
      </c>
      <c r="D68" s="66" t="s">
        <v>234</v>
      </c>
    </row>
    <row r="69" spans="1:4" ht="18" x14ac:dyDescent="0.25">
      <c r="A69" s="173"/>
      <c r="B69" s="66" t="s">
        <v>173</v>
      </c>
      <c r="C69" s="66"/>
      <c r="D69" s="66"/>
    </row>
    <row r="70" spans="1:4" ht="75" x14ac:dyDescent="0.25">
      <c r="A70" s="173" t="s">
        <v>235</v>
      </c>
      <c r="B70" s="66" t="s">
        <v>236</v>
      </c>
      <c r="C70" s="66" t="s">
        <v>237</v>
      </c>
      <c r="D70" s="48" t="s">
        <v>238</v>
      </c>
    </row>
    <row r="71" spans="1:4" ht="18" x14ac:dyDescent="0.25">
      <c r="A71" s="173"/>
      <c r="B71" s="66"/>
      <c r="C71" s="66" t="s">
        <v>173</v>
      </c>
      <c r="D71" s="66"/>
    </row>
    <row r="72" spans="1:4" ht="18.75" x14ac:dyDescent="0.25">
      <c r="A72" s="173" t="s">
        <v>239</v>
      </c>
      <c r="B72" s="66" t="s">
        <v>240</v>
      </c>
      <c r="C72" s="66" t="s">
        <v>241</v>
      </c>
      <c r="D72" s="66" t="s">
        <v>242</v>
      </c>
    </row>
    <row r="73" spans="1:4" ht="18.75" thickBot="1" x14ac:dyDescent="0.3">
      <c r="A73" s="174"/>
      <c r="B73" s="69" t="s">
        <v>173</v>
      </c>
      <c r="C73" s="70"/>
      <c r="D73" s="70"/>
    </row>
    <row r="74" spans="1:4" ht="18.75" x14ac:dyDescent="0.25">
      <c r="A74" s="71" t="s">
        <v>243</v>
      </c>
      <c r="B74" s="175">
        <v>18</v>
      </c>
      <c r="C74" s="175"/>
      <c r="D74" s="176"/>
    </row>
    <row r="75" spans="1:4" ht="18.75" x14ac:dyDescent="0.3">
      <c r="A75" s="72" t="s">
        <v>244</v>
      </c>
      <c r="B75" s="177" t="s">
        <v>245</v>
      </c>
      <c r="C75" s="177"/>
      <c r="D75" s="178"/>
    </row>
    <row r="76" spans="1:4" ht="18.75" x14ac:dyDescent="0.3">
      <c r="A76" s="73" t="s">
        <v>246</v>
      </c>
      <c r="B76" s="169" t="s">
        <v>247</v>
      </c>
      <c r="C76" s="169"/>
      <c r="D76" s="170"/>
    </row>
    <row r="77" spans="1:4" ht="19.5" thickBot="1" x14ac:dyDescent="0.35">
      <c r="A77" s="74" t="s">
        <v>248</v>
      </c>
      <c r="B77" s="171" t="s">
        <v>249</v>
      </c>
      <c r="C77" s="171"/>
      <c r="D77" s="172"/>
    </row>
    <row r="80" spans="1:4" x14ac:dyDescent="0.25">
      <c r="A80" s="75" t="s">
        <v>250</v>
      </c>
    </row>
    <row r="82" spans="1:4" ht="18.75" x14ac:dyDescent="0.25">
      <c r="A82" s="163" t="s">
        <v>164</v>
      </c>
      <c r="B82" s="163" t="s">
        <v>165</v>
      </c>
      <c r="C82" s="163"/>
      <c r="D82" s="163"/>
    </row>
    <row r="83" spans="1:4" ht="18.75" x14ac:dyDescent="0.25">
      <c r="A83" s="163"/>
      <c r="B83" s="47" t="s">
        <v>166</v>
      </c>
      <c r="C83" s="47" t="s">
        <v>167</v>
      </c>
      <c r="D83" s="47" t="s">
        <v>168</v>
      </c>
    </row>
    <row r="84" spans="1:4" ht="56.25" x14ac:dyDescent="0.25">
      <c r="A84" s="164" t="s">
        <v>251</v>
      </c>
      <c r="B84" s="48" t="s">
        <v>252</v>
      </c>
      <c r="C84" s="48" t="s">
        <v>253</v>
      </c>
      <c r="D84" s="48" t="s">
        <v>254</v>
      </c>
    </row>
    <row r="85" spans="1:4" ht="18.75" x14ac:dyDescent="0.25">
      <c r="A85" s="164"/>
      <c r="B85" s="48"/>
      <c r="C85" s="48"/>
      <c r="D85" s="48" t="s">
        <v>173</v>
      </c>
    </row>
    <row r="86" spans="1:4" ht="75" x14ac:dyDescent="0.25">
      <c r="A86" s="164" t="s">
        <v>255</v>
      </c>
      <c r="B86" s="48" t="s">
        <v>256</v>
      </c>
      <c r="C86" s="48" t="s">
        <v>257</v>
      </c>
      <c r="D86" s="48" t="s">
        <v>258</v>
      </c>
    </row>
    <row r="87" spans="1:4" ht="18.75" x14ac:dyDescent="0.25">
      <c r="A87" s="164"/>
      <c r="B87" s="48"/>
      <c r="C87" s="48" t="s">
        <v>173</v>
      </c>
      <c r="D87" s="48"/>
    </row>
    <row r="88" spans="1:4" ht="56.25" x14ac:dyDescent="0.25">
      <c r="A88" s="164" t="s">
        <v>259</v>
      </c>
      <c r="B88" s="48" t="s">
        <v>260</v>
      </c>
      <c r="C88" s="48" t="s">
        <v>261</v>
      </c>
      <c r="D88" s="48" t="s">
        <v>262</v>
      </c>
    </row>
    <row r="89" spans="1:4" ht="18.75" x14ac:dyDescent="0.25">
      <c r="A89" s="164"/>
      <c r="B89" s="48"/>
      <c r="C89" s="48" t="s">
        <v>173</v>
      </c>
      <c r="D89" s="48"/>
    </row>
    <row r="90" spans="1:4" ht="56.25" x14ac:dyDescent="0.25">
      <c r="A90" s="164" t="s">
        <v>263</v>
      </c>
      <c r="B90" s="48" t="s">
        <v>264</v>
      </c>
      <c r="C90" s="48" t="s">
        <v>265</v>
      </c>
      <c r="D90" s="48" t="s">
        <v>266</v>
      </c>
    </row>
    <row r="91" spans="1:4" ht="19.5" thickBot="1" x14ac:dyDescent="0.3">
      <c r="A91" s="154"/>
      <c r="B91" s="77"/>
      <c r="C91" s="77" t="s">
        <v>173</v>
      </c>
      <c r="D91" s="77"/>
    </row>
    <row r="92" spans="1:4" ht="18.75" x14ac:dyDescent="0.25">
      <c r="A92" s="78" t="s">
        <v>174</v>
      </c>
      <c r="B92" s="165">
        <v>7</v>
      </c>
      <c r="C92" s="165"/>
      <c r="D92" s="166"/>
    </row>
    <row r="93" spans="1:4" ht="18.75" x14ac:dyDescent="0.25">
      <c r="A93" s="51" t="s">
        <v>199</v>
      </c>
      <c r="B93" s="167" t="s">
        <v>267</v>
      </c>
      <c r="C93" s="167"/>
      <c r="D93" s="168"/>
    </row>
    <row r="94" spans="1:4" ht="18.75" x14ac:dyDescent="0.25">
      <c r="A94" s="52" t="s">
        <v>201</v>
      </c>
      <c r="B94" s="159" t="s">
        <v>268</v>
      </c>
      <c r="C94" s="159"/>
      <c r="D94" s="160"/>
    </row>
    <row r="95" spans="1:4" ht="19.5" thickBot="1" x14ac:dyDescent="0.3">
      <c r="A95" s="53" t="s">
        <v>203</v>
      </c>
      <c r="B95" s="161" t="s">
        <v>269</v>
      </c>
      <c r="C95" s="161"/>
      <c r="D95" s="162"/>
    </row>
    <row r="98" spans="1:3" x14ac:dyDescent="0.25">
      <c r="A98" s="75" t="s">
        <v>287</v>
      </c>
    </row>
    <row r="100" spans="1:3" ht="18.75" x14ac:dyDescent="0.25">
      <c r="A100" s="163" t="s">
        <v>164</v>
      </c>
      <c r="B100" s="152" t="s">
        <v>165</v>
      </c>
      <c r="C100" s="153"/>
    </row>
    <row r="101" spans="1:3" ht="18.75" x14ac:dyDescent="0.25">
      <c r="A101" s="163"/>
      <c r="B101" s="47" t="s">
        <v>167</v>
      </c>
      <c r="C101" s="47" t="s">
        <v>168</v>
      </c>
    </row>
    <row r="102" spans="1:3" ht="56.25" x14ac:dyDescent="0.25">
      <c r="A102" s="154" t="s">
        <v>270</v>
      </c>
      <c r="B102" s="48" t="s">
        <v>271</v>
      </c>
      <c r="C102" s="48" t="s">
        <v>272</v>
      </c>
    </row>
    <row r="103" spans="1:3" ht="18.75" x14ac:dyDescent="0.25">
      <c r="A103" s="158"/>
      <c r="B103" s="48" t="s">
        <v>173</v>
      </c>
      <c r="C103" s="48"/>
    </row>
    <row r="104" spans="1:3" ht="37.5" x14ac:dyDescent="0.25">
      <c r="A104" s="154" t="s">
        <v>273</v>
      </c>
      <c r="B104" s="48" t="s">
        <v>274</v>
      </c>
      <c r="C104" s="48" t="s">
        <v>275</v>
      </c>
    </row>
    <row r="105" spans="1:3" ht="18.75" x14ac:dyDescent="0.25">
      <c r="A105" s="158"/>
      <c r="B105" s="48"/>
      <c r="C105" s="48" t="s">
        <v>173</v>
      </c>
    </row>
    <row r="106" spans="1:3" ht="56.25" x14ac:dyDescent="0.25">
      <c r="A106" s="154" t="s">
        <v>276</v>
      </c>
      <c r="B106" s="48" t="s">
        <v>277</v>
      </c>
      <c r="C106" s="48" t="s">
        <v>278</v>
      </c>
    </row>
    <row r="107" spans="1:3" ht="18.75" x14ac:dyDescent="0.25">
      <c r="A107" s="158"/>
      <c r="B107" s="48"/>
      <c r="C107" s="48" t="s">
        <v>173</v>
      </c>
    </row>
    <row r="108" spans="1:3" ht="37.5" x14ac:dyDescent="0.25">
      <c r="A108" s="154" t="s">
        <v>279</v>
      </c>
      <c r="B108" s="48" t="s">
        <v>280</v>
      </c>
      <c r="C108" s="48" t="s">
        <v>281</v>
      </c>
    </row>
    <row r="109" spans="1:3" ht="19.5" thickBot="1" x14ac:dyDescent="0.3">
      <c r="A109" s="155"/>
      <c r="B109" s="77"/>
      <c r="C109" s="77" t="s">
        <v>173</v>
      </c>
    </row>
    <row r="110" spans="1:3" ht="18.75" x14ac:dyDescent="0.25">
      <c r="A110" s="50" t="s">
        <v>174</v>
      </c>
      <c r="B110" s="148">
        <v>5</v>
      </c>
      <c r="C110" s="149"/>
    </row>
    <row r="111" spans="1:3" ht="18.75" customHeight="1" x14ac:dyDescent="0.25">
      <c r="A111" s="51" t="s">
        <v>199</v>
      </c>
      <c r="B111" s="150" t="s">
        <v>282</v>
      </c>
      <c r="C111" s="151"/>
    </row>
    <row r="112" spans="1:3" ht="18.75" customHeight="1" x14ac:dyDescent="0.25">
      <c r="A112" s="52" t="s">
        <v>283</v>
      </c>
      <c r="B112" s="156" t="s">
        <v>284</v>
      </c>
      <c r="C112" s="157"/>
    </row>
    <row r="113" spans="1:4" ht="19.5" customHeight="1" thickBot="1" x14ac:dyDescent="0.3">
      <c r="A113" s="53" t="s">
        <v>285</v>
      </c>
      <c r="B113" s="146" t="s">
        <v>286</v>
      </c>
      <c r="C113" s="147"/>
    </row>
    <row r="116" spans="1:4" x14ac:dyDescent="0.25">
      <c r="A116" s="75" t="s">
        <v>308</v>
      </c>
    </row>
    <row r="119" spans="1:4" ht="18.75" x14ac:dyDescent="0.25">
      <c r="A119" s="82" t="s">
        <v>288</v>
      </c>
      <c r="B119" s="83" t="s">
        <v>289</v>
      </c>
      <c r="C119" s="83" t="s">
        <v>290</v>
      </c>
      <c r="D119" s="83" t="s">
        <v>291</v>
      </c>
    </row>
    <row r="120" spans="1:4" ht="150" x14ac:dyDescent="0.25">
      <c r="A120" s="84" t="s">
        <v>292</v>
      </c>
      <c r="B120" s="86" t="s">
        <v>190</v>
      </c>
      <c r="C120" s="90" t="s">
        <v>293</v>
      </c>
      <c r="D120" s="90" t="s">
        <v>294</v>
      </c>
    </row>
    <row r="121" spans="1:4" ht="206.25" x14ac:dyDescent="0.25">
      <c r="A121" s="84" t="s">
        <v>295</v>
      </c>
      <c r="B121" s="85" t="s">
        <v>296</v>
      </c>
      <c r="C121" s="84" t="s">
        <v>297</v>
      </c>
      <c r="D121" s="84" t="s">
        <v>298</v>
      </c>
    </row>
    <row r="122" spans="1:4" ht="168.75" x14ac:dyDescent="0.25">
      <c r="A122" s="84" t="s">
        <v>299</v>
      </c>
      <c r="B122" s="86" t="s">
        <v>190</v>
      </c>
      <c r="C122" s="84" t="s">
        <v>300</v>
      </c>
      <c r="D122" s="84" t="s">
        <v>301</v>
      </c>
    </row>
    <row r="123" spans="1:4" ht="225" x14ac:dyDescent="0.25">
      <c r="A123" s="84" t="s">
        <v>302</v>
      </c>
      <c r="B123" s="85" t="s">
        <v>296</v>
      </c>
      <c r="C123" s="84" t="s">
        <v>303</v>
      </c>
      <c r="D123" s="84" t="s">
        <v>304</v>
      </c>
    </row>
    <row r="124" spans="1:4" ht="37.5" x14ac:dyDescent="0.25">
      <c r="A124" s="84" t="s">
        <v>305</v>
      </c>
      <c r="B124" s="85" t="s">
        <v>296</v>
      </c>
      <c r="C124" s="84" t="s">
        <v>306</v>
      </c>
      <c r="D124" s="84" t="s">
        <v>307</v>
      </c>
    </row>
    <row r="129" spans="1:4" ht="15.75" x14ac:dyDescent="0.25">
      <c r="A129" s="13" t="s">
        <v>386</v>
      </c>
    </row>
    <row r="130" spans="1:4" ht="15.75" thickBot="1" x14ac:dyDescent="0.3"/>
    <row r="131" spans="1:4" ht="16.5" thickBot="1" x14ac:dyDescent="0.3">
      <c r="A131" s="14" t="s">
        <v>309</v>
      </c>
      <c r="B131" s="16" t="s">
        <v>310</v>
      </c>
      <c r="C131" s="16" t="s">
        <v>311</v>
      </c>
      <c r="D131" s="16" t="s">
        <v>312</v>
      </c>
    </row>
    <row r="132" spans="1:4" ht="16.5" thickBot="1" x14ac:dyDescent="0.3">
      <c r="A132" s="46" t="s">
        <v>313</v>
      </c>
      <c r="B132" s="79">
        <v>44590</v>
      </c>
      <c r="C132" s="80">
        <v>3</v>
      </c>
      <c r="D132" s="81">
        <v>44592</v>
      </c>
    </row>
    <row r="133" spans="1:4" ht="32.25" thickBot="1" x14ac:dyDescent="0.3">
      <c r="A133" s="46" t="s">
        <v>314</v>
      </c>
      <c r="B133" s="79">
        <v>44593</v>
      </c>
      <c r="C133" s="80">
        <v>9</v>
      </c>
      <c r="D133" s="81">
        <v>44602</v>
      </c>
    </row>
    <row r="134" spans="1:4" ht="16.5" thickBot="1" x14ac:dyDescent="0.3">
      <c r="A134" s="46" t="s">
        <v>315</v>
      </c>
      <c r="B134" s="79">
        <v>44604</v>
      </c>
      <c r="C134" s="80">
        <v>30</v>
      </c>
      <c r="D134" s="81">
        <v>44632</v>
      </c>
    </row>
    <row r="135" spans="1:4" ht="16.5" thickBot="1" x14ac:dyDescent="0.3">
      <c r="A135" s="46" t="s">
        <v>316</v>
      </c>
      <c r="B135" s="79">
        <v>44637</v>
      </c>
      <c r="C135" s="80">
        <v>29</v>
      </c>
      <c r="D135" s="81">
        <v>44669</v>
      </c>
    </row>
    <row r="136" spans="1:4" ht="16.5" thickBot="1" x14ac:dyDescent="0.3">
      <c r="A136" s="46" t="s">
        <v>317</v>
      </c>
      <c r="B136" s="79">
        <v>44671</v>
      </c>
      <c r="C136" s="80">
        <v>7</v>
      </c>
      <c r="D136" s="81">
        <v>44678</v>
      </c>
    </row>
    <row r="137" spans="1:4" ht="16.5" thickBot="1" x14ac:dyDescent="0.3">
      <c r="A137" s="46" t="s">
        <v>318</v>
      </c>
      <c r="B137" s="79">
        <v>44672</v>
      </c>
      <c r="C137" s="80">
        <v>2</v>
      </c>
      <c r="D137" s="81">
        <v>43944</v>
      </c>
    </row>
    <row r="138" spans="1:4" ht="16.5" thickBot="1" x14ac:dyDescent="0.3">
      <c r="A138" s="46" t="s">
        <v>319</v>
      </c>
      <c r="B138" s="79">
        <v>44676</v>
      </c>
      <c r="C138" s="80">
        <v>30</v>
      </c>
      <c r="D138" s="81">
        <v>44706</v>
      </c>
    </row>
    <row r="139" spans="1:4" ht="16.5" thickBot="1" x14ac:dyDescent="0.3">
      <c r="A139" s="46" t="s">
        <v>320</v>
      </c>
      <c r="B139" s="79">
        <v>44691</v>
      </c>
      <c r="C139" s="80">
        <v>14</v>
      </c>
      <c r="D139" s="81">
        <v>44705</v>
      </c>
    </row>
    <row r="140" spans="1:4" ht="16.5" thickBot="1" x14ac:dyDescent="0.3">
      <c r="A140" s="46" t="s">
        <v>321</v>
      </c>
      <c r="B140" s="79">
        <v>44676</v>
      </c>
      <c r="C140" s="80">
        <v>60</v>
      </c>
      <c r="D140" s="81">
        <v>44713</v>
      </c>
    </row>
    <row r="141" spans="1:4" ht="16.5" thickBot="1" x14ac:dyDescent="0.3">
      <c r="A141" s="46" t="s">
        <v>322</v>
      </c>
      <c r="B141" s="79">
        <v>44705</v>
      </c>
      <c r="C141" s="80">
        <v>90</v>
      </c>
      <c r="D141" s="81">
        <v>44797</v>
      </c>
    </row>
    <row r="142" spans="1:4" ht="16.5" thickBot="1" x14ac:dyDescent="0.3">
      <c r="A142" s="46" t="s">
        <v>323</v>
      </c>
      <c r="B142" s="79">
        <v>44805</v>
      </c>
      <c r="C142" s="80">
        <v>120</v>
      </c>
      <c r="D142" s="81">
        <v>44958</v>
      </c>
    </row>
  </sheetData>
  <mergeCells count="52">
    <mergeCell ref="A1:L1"/>
    <mergeCell ref="A28:A29"/>
    <mergeCell ref="B28:D28"/>
    <mergeCell ref="A30:A31"/>
    <mergeCell ref="B32:D32"/>
    <mergeCell ref="B33:D33"/>
    <mergeCell ref="B34:D34"/>
    <mergeCell ref="B35:D35"/>
    <mergeCell ref="A39:A40"/>
    <mergeCell ref="B39:D39"/>
    <mergeCell ref="A41:A42"/>
    <mergeCell ref="A43:A44"/>
    <mergeCell ref="A45:A46"/>
    <mergeCell ref="A47:A48"/>
    <mergeCell ref="B49:D49"/>
    <mergeCell ref="B50:D50"/>
    <mergeCell ref="B51:D51"/>
    <mergeCell ref="B52:D52"/>
    <mergeCell ref="A56:A57"/>
    <mergeCell ref="B56:D56"/>
    <mergeCell ref="A58:A59"/>
    <mergeCell ref="A60:A61"/>
    <mergeCell ref="A62:A63"/>
    <mergeCell ref="A64:A65"/>
    <mergeCell ref="A66:A67"/>
    <mergeCell ref="A68:A69"/>
    <mergeCell ref="A70:A71"/>
    <mergeCell ref="A72:A73"/>
    <mergeCell ref="B74:D74"/>
    <mergeCell ref="B75:D75"/>
    <mergeCell ref="B76:D76"/>
    <mergeCell ref="B77:D77"/>
    <mergeCell ref="A82:A83"/>
    <mergeCell ref="B82:D82"/>
    <mergeCell ref="A84:A85"/>
    <mergeCell ref="B94:D94"/>
    <mergeCell ref="B95:D95"/>
    <mergeCell ref="A100:A101"/>
    <mergeCell ref="A86:A87"/>
    <mergeCell ref="A88:A89"/>
    <mergeCell ref="A90:A91"/>
    <mergeCell ref="B92:D92"/>
    <mergeCell ref="B93:D93"/>
    <mergeCell ref="B113:C113"/>
    <mergeCell ref="B110:C110"/>
    <mergeCell ref="B111:C111"/>
    <mergeCell ref="B100:C100"/>
    <mergeCell ref="A108:A109"/>
    <mergeCell ref="B112:C112"/>
    <mergeCell ref="A102:A103"/>
    <mergeCell ref="A104:A105"/>
    <mergeCell ref="A106:A10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1"/>
  <sheetViews>
    <sheetView topLeftCell="A13" workbookViewId="0">
      <selection activeCell="C37" sqref="C37"/>
    </sheetView>
  </sheetViews>
  <sheetFormatPr defaultRowHeight="15" x14ac:dyDescent="0.25"/>
  <cols>
    <col min="1" max="1" width="4.42578125" customWidth="1"/>
    <col min="2" max="2" width="57.85546875" customWidth="1"/>
    <col min="3" max="3" width="13.28515625" bestFit="1" customWidth="1"/>
    <col min="4" max="4" width="10.7109375" bestFit="1" customWidth="1"/>
    <col min="5" max="5" width="14.85546875" customWidth="1"/>
    <col min="6" max="6" width="16.28515625" customWidth="1"/>
    <col min="7" max="7" width="24" customWidth="1"/>
    <col min="8" max="8" width="23.42578125" customWidth="1"/>
    <col min="9" max="9" width="19.140625" customWidth="1"/>
    <col min="10" max="14" width="12" bestFit="1" customWidth="1"/>
  </cols>
  <sheetData>
    <row r="1" spans="2:19" ht="15.75" x14ac:dyDescent="0.25">
      <c r="B1" s="210" t="s">
        <v>137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4" spans="2:19" ht="15.75" x14ac:dyDescent="0.25">
      <c r="B4" s="45" t="s">
        <v>158</v>
      </c>
    </row>
    <row r="5" spans="2:19" thickBot="1" x14ac:dyDescent="0.35"/>
    <row r="6" spans="2:19" ht="16.5" thickBot="1" x14ac:dyDescent="0.3">
      <c r="B6" s="14" t="s">
        <v>101</v>
      </c>
      <c r="C6" s="16" t="s">
        <v>43</v>
      </c>
      <c r="D6" s="16" t="s">
        <v>44</v>
      </c>
      <c r="E6" s="16" t="s">
        <v>45</v>
      </c>
      <c r="F6" s="16" t="s">
        <v>59</v>
      </c>
      <c r="G6" s="16" t="s">
        <v>60</v>
      </c>
      <c r="H6" s="16" t="s">
        <v>61</v>
      </c>
      <c r="I6" s="16" t="s">
        <v>62</v>
      </c>
      <c r="J6" s="16" t="s">
        <v>63</v>
      </c>
      <c r="K6" s="16" t="s">
        <v>51</v>
      </c>
      <c r="L6" s="16" t="s">
        <v>64</v>
      </c>
    </row>
    <row r="7" spans="2:19" ht="16.5" thickBot="1" x14ac:dyDescent="0.3">
      <c r="B7" s="34" t="s">
        <v>102</v>
      </c>
      <c r="C7" s="35"/>
      <c r="D7" s="35">
        <f>D8+D9</f>
        <v>0</v>
      </c>
      <c r="E7" s="35">
        <f>E8+E9+E10</f>
        <v>819000</v>
      </c>
      <c r="F7" s="35">
        <f t="shared" ref="F7:L7" si="0">F8+F9+F10</f>
        <v>819000</v>
      </c>
      <c r="G7" s="35">
        <f t="shared" si="0"/>
        <v>819000</v>
      </c>
      <c r="H7" s="35">
        <f t="shared" si="0"/>
        <v>819000</v>
      </c>
      <c r="I7" s="35">
        <f t="shared" si="0"/>
        <v>819000</v>
      </c>
      <c r="J7" s="35">
        <f t="shared" si="0"/>
        <v>819000</v>
      </c>
      <c r="K7" s="35">
        <f t="shared" si="0"/>
        <v>9009000</v>
      </c>
      <c r="L7" s="35">
        <f t="shared" si="0"/>
        <v>0</v>
      </c>
    </row>
    <row r="8" spans="2:19" ht="16.5" thickBot="1" x14ac:dyDescent="0.3">
      <c r="B8" s="87" t="s">
        <v>103</v>
      </c>
      <c r="C8" s="19"/>
      <c r="D8" s="19">
        <f>'Лист 1 - Данные для расчета'!C8</f>
        <v>0</v>
      </c>
      <c r="E8" s="19"/>
      <c r="F8" s="19"/>
      <c r="G8" s="19"/>
      <c r="H8" s="19"/>
      <c r="I8" s="19"/>
      <c r="J8" s="19"/>
      <c r="K8" s="19"/>
      <c r="L8" s="19"/>
    </row>
    <row r="9" spans="2:19" ht="16.5" thickBot="1" x14ac:dyDescent="0.3">
      <c r="B9" s="87" t="s">
        <v>104</v>
      </c>
      <c r="C9" s="19"/>
      <c r="D9" s="19">
        <f>'Лист 1 - Данные для расчета'!C7</f>
        <v>0</v>
      </c>
      <c r="E9" s="19"/>
      <c r="F9" s="19"/>
      <c r="G9" s="19"/>
      <c r="H9" s="19"/>
      <c r="I9" s="19"/>
      <c r="J9" s="19"/>
      <c r="K9" s="19"/>
      <c r="L9" s="19"/>
    </row>
    <row r="10" spans="2:19" ht="16.5" thickBot="1" x14ac:dyDescent="0.3">
      <c r="B10" s="87" t="s">
        <v>105</v>
      </c>
      <c r="C10" s="19"/>
      <c r="D10" s="19"/>
      <c r="E10" s="19">
        <f>'Лист3 Доходы и расходы'!F42</f>
        <v>819000</v>
      </c>
      <c r="F10" s="19">
        <f>'Лист3 Доходы и расходы'!F43</f>
        <v>819000</v>
      </c>
      <c r="G10" s="19">
        <f>'Лист3 Доходы и расходы'!F44</f>
        <v>819000</v>
      </c>
      <c r="H10" s="19">
        <f>'Лист3 Доходы и расходы'!F45</f>
        <v>819000</v>
      </c>
      <c r="I10" s="19">
        <f>'Лист3 Доходы и расходы'!F46</f>
        <v>819000</v>
      </c>
      <c r="J10" s="19">
        <f>'Лист3 Доходы и расходы'!F47</f>
        <v>819000</v>
      </c>
      <c r="K10" s="19">
        <f>'Лист3 Доходы и расходы'!F48</f>
        <v>9009000</v>
      </c>
      <c r="L10" s="19">
        <f>'Лист3 Доходы и расходы'!F49</f>
        <v>0</v>
      </c>
    </row>
    <row r="11" spans="2:19" ht="16.5" thickBot="1" x14ac:dyDescent="0.3">
      <c r="B11" s="34" t="s">
        <v>106</v>
      </c>
      <c r="C11" s="35"/>
      <c r="D11" s="35">
        <f>D12+D13+D14+D15+D16+D17+D18+D19</f>
        <v>591173.5</v>
      </c>
      <c r="E11" s="35">
        <f>E12+E13+E14+E15+E16+E17+E18+E19</f>
        <v>327201.5</v>
      </c>
      <c r="F11" s="35">
        <f t="shared" ref="F11:L11" si="1">F12+F13+F14+F15+F16+F17+F18+F19</f>
        <v>327201.5</v>
      </c>
      <c r="G11" s="35">
        <f t="shared" si="1"/>
        <v>327201.5</v>
      </c>
      <c r="H11" s="35">
        <f t="shared" si="1"/>
        <v>327201.5</v>
      </c>
      <c r="I11" s="35">
        <f t="shared" si="1"/>
        <v>327201.5</v>
      </c>
      <c r="J11" s="35">
        <f t="shared" si="1"/>
        <v>327201.5</v>
      </c>
      <c r="K11" s="35">
        <f t="shared" si="1"/>
        <v>818601.5</v>
      </c>
      <c r="L11" s="35">
        <f t="shared" si="1"/>
        <v>114261.5</v>
      </c>
    </row>
    <row r="12" spans="2:19" ht="16.5" thickBot="1" x14ac:dyDescent="0.3">
      <c r="B12" s="87" t="s">
        <v>107</v>
      </c>
      <c r="C12" s="19"/>
      <c r="D12" s="19">
        <v>339700</v>
      </c>
      <c r="E12" s="19"/>
      <c r="F12" s="19"/>
      <c r="G12" s="19"/>
      <c r="H12" s="19"/>
      <c r="I12" s="19"/>
      <c r="J12" s="19"/>
      <c r="K12" s="19"/>
      <c r="L12" s="19"/>
    </row>
    <row r="13" spans="2:19" ht="16.5" thickBot="1" x14ac:dyDescent="0.3">
      <c r="B13" s="87" t="s">
        <v>108</v>
      </c>
      <c r="C13" s="19"/>
      <c r="D13" s="135">
        <v>210000</v>
      </c>
      <c r="E13" s="135"/>
      <c r="F13" s="135"/>
      <c r="G13" s="135"/>
      <c r="H13" s="135"/>
      <c r="I13" s="135"/>
      <c r="J13" s="135"/>
      <c r="K13" s="135"/>
      <c r="L13" s="135"/>
    </row>
    <row r="14" spans="2:19" ht="16.5" thickBot="1" x14ac:dyDescent="0.3">
      <c r="B14" s="87" t="s">
        <v>109</v>
      </c>
      <c r="C14" s="134"/>
      <c r="D14" s="136">
        <v>35811.800000000003</v>
      </c>
      <c r="E14" s="136">
        <v>87546.8</v>
      </c>
      <c r="F14" s="136">
        <v>87546.8</v>
      </c>
      <c r="G14" s="136">
        <v>87546.8</v>
      </c>
      <c r="H14" s="136">
        <v>87546.8</v>
      </c>
      <c r="I14" s="136">
        <v>87546.8</v>
      </c>
      <c r="J14" s="136">
        <v>87546.8</v>
      </c>
      <c r="K14" s="136">
        <v>87546.8</v>
      </c>
      <c r="L14" s="136">
        <v>87546.8</v>
      </c>
    </row>
    <row r="15" spans="2:19" ht="16.5" thickBot="1" x14ac:dyDescent="0.3">
      <c r="B15" s="87" t="s">
        <v>110</v>
      </c>
      <c r="C15" s="19"/>
      <c r="D15" s="19">
        <f>'Лист3 Доходы и расходы'!F12*1000</f>
        <v>0</v>
      </c>
      <c r="E15" s="19">
        <f>'Лист3 Доходы и расходы'!G12*1000</f>
        <v>0</v>
      </c>
      <c r="F15" s="19">
        <f>'Лист3 Доходы и расходы'!H12*1000</f>
        <v>0</v>
      </c>
      <c r="G15" s="19">
        <f>'Лист3 Доходы и расходы'!I12*1000</f>
        <v>0</v>
      </c>
      <c r="H15" s="19">
        <f>'Лист3 Доходы и расходы'!J12*1000</f>
        <v>0</v>
      </c>
      <c r="I15" s="19">
        <f>'Лист3 Доходы и расходы'!K12*1000</f>
        <v>0</v>
      </c>
      <c r="J15" s="19">
        <f>'Лист3 Доходы и расходы'!L12*1000</f>
        <v>0</v>
      </c>
      <c r="K15" s="19">
        <f>'Лист3 Доходы и расходы'!M12*1000</f>
        <v>0</v>
      </c>
      <c r="L15" s="19">
        <f>'Лист3 Доходы и расходы'!N12*1000</f>
        <v>0</v>
      </c>
    </row>
    <row r="16" spans="2:19" ht="16.5" thickBot="1" x14ac:dyDescent="0.3">
      <c r="B16" s="87" t="s">
        <v>111</v>
      </c>
      <c r="C16" s="19"/>
      <c r="D16" s="19">
        <v>0</v>
      </c>
      <c r="E16" s="19">
        <f>'Лист3 Доходы и расходы'!G30*1000</f>
        <v>163800</v>
      </c>
      <c r="F16" s="19">
        <f>'Лист3 Доходы и расходы'!H30*1000</f>
        <v>163800</v>
      </c>
      <c r="G16" s="19">
        <f>'Лист3 Доходы и расходы'!I30*1000</f>
        <v>163800</v>
      </c>
      <c r="H16" s="19">
        <f>'Лист3 Доходы и расходы'!J30*1000</f>
        <v>163800</v>
      </c>
      <c r="I16" s="19">
        <f>'Лист3 Доходы и расходы'!K30*1000</f>
        <v>163800</v>
      </c>
      <c r="J16" s="19">
        <f>'Лист3 Доходы и расходы'!L30*1000</f>
        <v>163800</v>
      </c>
      <c r="K16" s="19">
        <f>'Лист3 Доходы и расходы'!M30*1000</f>
        <v>163800</v>
      </c>
      <c r="L16" s="19">
        <f>'Лист3 Доходы и расходы'!N30*1000</f>
        <v>0</v>
      </c>
    </row>
    <row r="17" spans="2:12" ht="16.5" thickBot="1" x14ac:dyDescent="0.3">
      <c r="B17" s="87" t="s">
        <v>408</v>
      </c>
      <c r="C17" s="19"/>
      <c r="D17" s="19">
        <v>5661.7</v>
      </c>
      <c r="E17" s="19">
        <v>5661.7</v>
      </c>
      <c r="F17" s="19">
        <v>5661.7</v>
      </c>
      <c r="G17" s="19">
        <v>5661.7</v>
      </c>
      <c r="H17" s="19">
        <v>5661.7</v>
      </c>
      <c r="I17" s="19">
        <v>5661.7</v>
      </c>
      <c r="J17" s="19">
        <v>5661.7</v>
      </c>
      <c r="K17" s="19">
        <v>5661.7</v>
      </c>
      <c r="L17" s="19">
        <v>5661.7</v>
      </c>
    </row>
    <row r="18" spans="2:12" ht="16.5" thickBot="1" x14ac:dyDescent="0.3">
      <c r="B18" s="87" t="s">
        <v>117</v>
      </c>
      <c r="C18" s="19"/>
      <c r="D18" s="19">
        <v>0</v>
      </c>
      <c r="E18" s="19">
        <f>E10*6/100</f>
        <v>49140</v>
      </c>
      <c r="F18" s="19">
        <f>F10*6/100</f>
        <v>49140</v>
      </c>
      <c r="G18" s="19">
        <f t="shared" ref="G18:L18" si="2">G10*6/100</f>
        <v>49140</v>
      </c>
      <c r="H18" s="19">
        <f t="shared" si="2"/>
        <v>49140</v>
      </c>
      <c r="I18" s="19">
        <f t="shared" si="2"/>
        <v>49140</v>
      </c>
      <c r="J18" s="19">
        <f t="shared" si="2"/>
        <v>49140</v>
      </c>
      <c r="K18" s="19">
        <f t="shared" si="2"/>
        <v>540540</v>
      </c>
      <c r="L18" s="19">
        <f t="shared" si="2"/>
        <v>0</v>
      </c>
    </row>
    <row r="19" spans="2:12" ht="16.5" thickBot="1" x14ac:dyDescent="0.3">
      <c r="B19" s="87" t="s">
        <v>112</v>
      </c>
      <c r="C19" s="19"/>
      <c r="D19" s="36">
        <v>0</v>
      </c>
      <c r="E19" s="36">
        <v>21053</v>
      </c>
      <c r="F19" s="36">
        <v>21053</v>
      </c>
      <c r="G19" s="36">
        <v>21053</v>
      </c>
      <c r="H19" s="36">
        <v>21053</v>
      </c>
      <c r="I19" s="36">
        <v>21053</v>
      </c>
      <c r="J19" s="36">
        <v>21053</v>
      </c>
      <c r="K19" s="36">
        <v>21053</v>
      </c>
      <c r="L19" s="36">
        <v>21053</v>
      </c>
    </row>
    <row r="20" spans="2:12" ht="16.5" thickBot="1" x14ac:dyDescent="0.3">
      <c r="B20" s="34" t="s">
        <v>113</v>
      </c>
      <c r="C20" s="35"/>
      <c r="D20" s="35">
        <f>D7-D11</f>
        <v>-591173.5</v>
      </c>
      <c r="E20" s="35">
        <f>D20+E7-E11</f>
        <v>-99375</v>
      </c>
      <c r="F20" s="35">
        <f t="shared" ref="F20:L20" si="3">E20+F7-F11</f>
        <v>392423.5</v>
      </c>
      <c r="G20" s="35">
        <f t="shared" si="3"/>
        <v>884222</v>
      </c>
      <c r="H20" s="35">
        <f t="shared" si="3"/>
        <v>1376020.5</v>
      </c>
      <c r="I20" s="35">
        <f t="shared" si="3"/>
        <v>1867819</v>
      </c>
      <c r="J20" s="35">
        <f t="shared" si="3"/>
        <v>2359617.5</v>
      </c>
      <c r="K20" s="35">
        <f t="shared" si="3"/>
        <v>10550016</v>
      </c>
      <c r="L20" s="137">
        <f t="shared" si="3"/>
        <v>10435754.5</v>
      </c>
    </row>
    <row r="24" spans="2:12" ht="16.5" thickBot="1" x14ac:dyDescent="0.3">
      <c r="B24" s="21" t="s">
        <v>162</v>
      </c>
    </row>
    <row r="25" spans="2:12" ht="16.5" thickBot="1" x14ac:dyDescent="0.3">
      <c r="B25" s="14" t="s">
        <v>115</v>
      </c>
      <c r="C25" s="16" t="s">
        <v>18</v>
      </c>
      <c r="D25" s="16" t="s">
        <v>138</v>
      </c>
      <c r="E25" s="16" t="s">
        <v>139</v>
      </c>
      <c r="F25" s="16" t="s">
        <v>140</v>
      </c>
    </row>
    <row r="26" spans="2:12" ht="16.5" thickBot="1" x14ac:dyDescent="0.3">
      <c r="B26" s="17" t="s">
        <v>141</v>
      </c>
      <c r="C26" s="19">
        <f>'Лист 1 - Данные для расчета'!B5</f>
        <v>552000</v>
      </c>
      <c r="D26" s="19" t="s">
        <v>18</v>
      </c>
      <c r="E26" s="19" t="s">
        <v>18</v>
      </c>
      <c r="F26" s="19" t="s">
        <v>18</v>
      </c>
    </row>
    <row r="27" spans="2:12" ht="16.5" thickBot="1" x14ac:dyDescent="0.3">
      <c r="B27" s="17" t="s">
        <v>142</v>
      </c>
      <c r="C27" s="19">
        <f>(-1)*'Лист 1 - Данные для расчета'!B6</f>
        <v>-138000</v>
      </c>
      <c r="D27" s="37">
        <f>Лист8!P7</f>
        <v>2632500</v>
      </c>
      <c r="E27" s="37">
        <f>Лист8!P21</f>
        <v>9009000</v>
      </c>
      <c r="F27" s="37">
        <f>Лист8!P36</f>
        <v>9828000</v>
      </c>
    </row>
    <row r="28" spans="2:12" ht="15.75" customHeight="1" x14ac:dyDescent="0.25">
      <c r="B28" s="38" t="s">
        <v>143</v>
      </c>
      <c r="C28" s="211">
        <f>'Лист 1 - Данные для расчета'!B17</f>
        <v>23</v>
      </c>
      <c r="D28" s="211" t="s">
        <v>18</v>
      </c>
      <c r="E28" s="211" t="s">
        <v>18</v>
      </c>
      <c r="F28" s="211" t="s">
        <v>18</v>
      </c>
    </row>
    <row r="29" spans="2:12" ht="15" customHeight="1" x14ac:dyDescent="0.25">
      <c r="B29" s="38" t="s">
        <v>144</v>
      </c>
      <c r="C29" s="212"/>
      <c r="D29" s="212"/>
      <c r="E29" s="212"/>
      <c r="F29" s="212"/>
    </row>
    <row r="30" spans="2:12" ht="15" customHeight="1" x14ac:dyDescent="0.25">
      <c r="B30" s="38" t="s">
        <v>145</v>
      </c>
      <c r="C30" s="212"/>
      <c r="D30" s="212"/>
      <c r="E30" s="212"/>
      <c r="F30" s="212"/>
    </row>
    <row r="31" spans="2:12" ht="15" customHeight="1" x14ac:dyDescent="0.25">
      <c r="B31" s="38" t="s">
        <v>146</v>
      </c>
      <c r="C31" s="212"/>
      <c r="D31" s="212"/>
      <c r="E31" s="212"/>
      <c r="F31" s="212"/>
    </row>
    <row r="32" spans="2:12" ht="15" customHeight="1" x14ac:dyDescent="0.25">
      <c r="B32" s="38" t="s">
        <v>147</v>
      </c>
      <c r="C32" s="212"/>
      <c r="D32" s="212"/>
      <c r="E32" s="212"/>
      <c r="F32" s="212"/>
    </row>
    <row r="33" spans="2:8" ht="15" customHeight="1" x14ac:dyDescent="0.25">
      <c r="B33" s="38" t="s">
        <v>148</v>
      </c>
      <c r="C33" s="212"/>
      <c r="D33" s="212"/>
      <c r="E33" s="212"/>
      <c r="F33" s="212"/>
    </row>
    <row r="34" spans="2:8" ht="15.75" customHeight="1" thickBot="1" x14ac:dyDescent="0.3">
      <c r="B34" s="17" t="s">
        <v>420</v>
      </c>
      <c r="C34" s="213"/>
      <c r="D34" s="213"/>
      <c r="E34" s="213"/>
      <c r="F34" s="213"/>
    </row>
    <row r="35" spans="2:8" ht="16.5" thickBot="1" x14ac:dyDescent="0.3">
      <c r="B35" s="17" t="s">
        <v>149</v>
      </c>
      <c r="C35" s="39">
        <v>3402321.1090000002</v>
      </c>
      <c r="D35" s="19" t="s">
        <v>18</v>
      </c>
      <c r="E35" s="19" t="s">
        <v>18</v>
      </c>
      <c r="F35" s="19" t="s">
        <v>18</v>
      </c>
    </row>
    <row r="36" spans="2:8" ht="16.5" thickBot="1" x14ac:dyDescent="0.3">
      <c r="B36" s="17" t="s">
        <v>150</v>
      </c>
      <c r="C36" s="19">
        <v>20.010000000000002</v>
      </c>
      <c r="D36" s="19" t="s">
        <v>18</v>
      </c>
      <c r="E36" s="19" t="s">
        <v>18</v>
      </c>
      <c r="F36" s="19" t="s">
        <v>18</v>
      </c>
    </row>
    <row r="37" spans="2:8" ht="16.5" thickBot="1" x14ac:dyDescent="0.3">
      <c r="B37" s="22" t="s">
        <v>151</v>
      </c>
      <c r="C37" s="40">
        <v>3.3</v>
      </c>
      <c r="D37" s="19" t="s">
        <v>18</v>
      </c>
      <c r="E37" s="19" t="s">
        <v>18</v>
      </c>
      <c r="F37" s="19" t="s">
        <v>18</v>
      </c>
    </row>
    <row r="42" spans="2:8" thickBot="1" x14ac:dyDescent="0.35">
      <c r="D42" s="10" t="s">
        <v>153</v>
      </c>
    </row>
    <row r="43" spans="2:8" ht="60.75" thickBot="1" x14ac:dyDescent="0.3">
      <c r="B43" s="3" t="s">
        <v>9</v>
      </c>
      <c r="D43" s="6" t="s">
        <v>13</v>
      </c>
      <c r="E43" s="7" t="s">
        <v>14</v>
      </c>
      <c r="F43" s="7" t="s">
        <v>15</v>
      </c>
      <c r="G43" s="7" t="s">
        <v>16</v>
      </c>
      <c r="H43" s="7" t="s">
        <v>17</v>
      </c>
    </row>
    <row r="44" spans="2:8" thickBot="1" x14ac:dyDescent="0.35">
      <c r="B44" s="3">
        <v>-179000</v>
      </c>
      <c r="D44" s="8">
        <v>0</v>
      </c>
      <c r="E44" s="9">
        <v>179000</v>
      </c>
      <c r="F44" s="9" t="s">
        <v>18</v>
      </c>
      <c r="G44" s="9">
        <v>-179000</v>
      </c>
      <c r="H44" s="9">
        <v>-179000</v>
      </c>
    </row>
    <row r="45" spans="2:8" ht="31.15" thickBot="1" x14ac:dyDescent="0.35">
      <c r="B45" s="3">
        <v>339524.7</v>
      </c>
      <c r="D45" s="8">
        <v>1</v>
      </c>
      <c r="E45" s="9" t="s">
        <v>18</v>
      </c>
      <c r="F45" s="9">
        <v>339524.7</v>
      </c>
      <c r="G45" s="9" t="s">
        <v>19</v>
      </c>
      <c r="H45" s="9" t="s">
        <v>20</v>
      </c>
    </row>
    <row r="46" spans="2:8" ht="33" thickBot="1" x14ac:dyDescent="0.3">
      <c r="B46" s="3">
        <v>1253966</v>
      </c>
      <c r="D46" s="8">
        <v>2</v>
      </c>
      <c r="E46" s="9" t="s">
        <v>18</v>
      </c>
      <c r="F46" s="9">
        <v>1253966</v>
      </c>
      <c r="G46" s="9" t="s">
        <v>21</v>
      </c>
      <c r="H46" s="9" t="s">
        <v>22</v>
      </c>
    </row>
    <row r="47" spans="2:8" ht="45.75" thickBot="1" x14ac:dyDescent="0.3">
      <c r="B47" s="3">
        <v>2580036</v>
      </c>
      <c r="D47" s="8">
        <v>3</v>
      </c>
      <c r="E47" s="9" t="s">
        <v>18</v>
      </c>
      <c r="F47" s="9">
        <v>2580036</v>
      </c>
      <c r="G47" s="9" t="s">
        <v>23</v>
      </c>
      <c r="H47" s="9" t="s">
        <v>24</v>
      </c>
    </row>
    <row r="48" spans="2:8" x14ac:dyDescent="0.25">
      <c r="B48" s="5">
        <f>IRR(B44:B47,9)</f>
        <v>3.3031499847108368</v>
      </c>
    </row>
    <row r="51" spans="2:14" x14ac:dyDescent="0.25">
      <c r="B51" s="10" t="s">
        <v>152</v>
      </c>
    </row>
    <row r="54" spans="2:14" ht="16.5" thickBot="1" x14ac:dyDescent="0.3">
      <c r="B54" s="198" t="s">
        <v>159</v>
      </c>
      <c r="C54" s="198"/>
      <c r="D54" s="198"/>
      <c r="E54" s="198"/>
      <c r="F54" s="198"/>
      <c r="G54" s="198"/>
      <c r="H54" s="198"/>
      <c r="I54" s="198"/>
    </row>
    <row r="55" spans="2:14" ht="16.5" thickBot="1" x14ac:dyDescent="0.3">
      <c r="B55" s="14" t="s">
        <v>120</v>
      </c>
      <c r="C55" s="16" t="s">
        <v>58</v>
      </c>
      <c r="D55" s="16" t="s">
        <v>42</v>
      </c>
      <c r="E55" s="16" t="s">
        <v>43</v>
      </c>
      <c r="F55" s="16" t="s">
        <v>44</v>
      </c>
      <c r="G55" s="16" t="s">
        <v>45</v>
      </c>
      <c r="H55" s="16" t="s">
        <v>59</v>
      </c>
      <c r="I55" s="16" t="s">
        <v>60</v>
      </c>
      <c r="J55" s="16" t="s">
        <v>61</v>
      </c>
      <c r="K55" s="16" t="s">
        <v>62</v>
      </c>
      <c r="L55" s="16" t="s">
        <v>63</v>
      </c>
      <c r="M55" s="16" t="s">
        <v>51</v>
      </c>
      <c r="N55" s="16" t="s">
        <v>64</v>
      </c>
    </row>
    <row r="56" spans="2:14" ht="16.5" thickBot="1" x14ac:dyDescent="0.3">
      <c r="B56" s="17" t="s">
        <v>105</v>
      </c>
      <c r="C56" s="19">
        <v>0</v>
      </c>
      <c r="D56" s="19">
        <v>0</v>
      </c>
      <c r="E56" s="19">
        <v>0</v>
      </c>
      <c r="F56" s="19">
        <v>0</v>
      </c>
      <c r="G56" s="19">
        <v>120</v>
      </c>
      <c r="H56" s="19">
        <v>150</v>
      </c>
      <c r="I56" s="19">
        <v>150</v>
      </c>
      <c r="J56" s="19">
        <v>180</v>
      </c>
      <c r="K56" s="19">
        <v>180</v>
      </c>
      <c r="L56" s="19">
        <v>180</v>
      </c>
      <c r="M56" s="19">
        <v>180</v>
      </c>
      <c r="N56" s="19">
        <v>180</v>
      </c>
    </row>
    <row r="57" spans="2:14" ht="16.5" thickBot="1" x14ac:dyDescent="0.3">
      <c r="B57" s="17" t="s">
        <v>121</v>
      </c>
      <c r="C57" s="19">
        <v>0</v>
      </c>
      <c r="D57" s="19">
        <v>0</v>
      </c>
      <c r="E57" s="19">
        <v>0</v>
      </c>
      <c r="F57" s="19">
        <v>0</v>
      </c>
      <c r="G57" s="19">
        <v>58.41</v>
      </c>
      <c r="H57" s="19">
        <v>58.41</v>
      </c>
      <c r="I57" s="19">
        <v>58.41</v>
      </c>
      <c r="J57" s="19">
        <v>58.41</v>
      </c>
      <c r="K57" s="19">
        <v>58.41</v>
      </c>
      <c r="L57" s="19">
        <v>58.41</v>
      </c>
      <c r="M57" s="19">
        <v>58.41</v>
      </c>
      <c r="N57" s="19">
        <v>58.41</v>
      </c>
    </row>
    <row r="58" spans="2:14" ht="16.5" thickBot="1" x14ac:dyDescent="0.3">
      <c r="B58" s="17" t="s">
        <v>122</v>
      </c>
      <c r="C58" s="19">
        <v>0</v>
      </c>
      <c r="D58" s="19">
        <v>0</v>
      </c>
      <c r="E58" s="19">
        <v>0</v>
      </c>
      <c r="F58" s="19">
        <v>0</v>
      </c>
      <c r="G58" s="19">
        <v>61.59</v>
      </c>
      <c r="H58" s="19">
        <v>91.59</v>
      </c>
      <c r="I58" s="19">
        <v>91.59</v>
      </c>
      <c r="J58" s="19">
        <v>121.59</v>
      </c>
      <c r="K58" s="19">
        <v>121.59</v>
      </c>
      <c r="L58" s="19">
        <v>121.59</v>
      </c>
      <c r="M58" s="19">
        <v>121.59</v>
      </c>
      <c r="N58" s="19">
        <v>121.59</v>
      </c>
    </row>
    <row r="59" spans="2:14" ht="16.5" thickBot="1" x14ac:dyDescent="0.3">
      <c r="B59" s="17" t="s">
        <v>123</v>
      </c>
      <c r="C59" s="19">
        <v>0</v>
      </c>
      <c r="D59" s="19">
        <v>0</v>
      </c>
      <c r="E59" s="19">
        <v>0</v>
      </c>
      <c r="F59" s="19">
        <v>31.34</v>
      </c>
      <c r="G59" s="19">
        <v>31.34</v>
      </c>
      <c r="H59" s="19">
        <v>31.34</v>
      </c>
      <c r="I59" s="19">
        <v>31.34</v>
      </c>
      <c r="J59" s="19">
        <v>31.34</v>
      </c>
      <c r="K59" s="19">
        <v>31.34</v>
      </c>
      <c r="L59" s="19">
        <v>31.34</v>
      </c>
      <c r="M59" s="19">
        <v>31.34</v>
      </c>
      <c r="N59" s="19">
        <v>31.34</v>
      </c>
    </row>
    <row r="60" spans="2:14" ht="16.5" thickBot="1" x14ac:dyDescent="0.3">
      <c r="B60" s="17" t="s">
        <v>124</v>
      </c>
      <c r="C60" s="19">
        <v>0</v>
      </c>
      <c r="D60" s="19">
        <v>0</v>
      </c>
      <c r="E60" s="19">
        <v>0</v>
      </c>
      <c r="F60" s="19">
        <v>0</v>
      </c>
      <c r="G60" s="19">
        <v>2</v>
      </c>
      <c r="H60" s="19">
        <v>12.5</v>
      </c>
      <c r="I60" s="19">
        <v>12.5</v>
      </c>
      <c r="J60" s="19">
        <v>23</v>
      </c>
      <c r="K60" s="19">
        <v>23</v>
      </c>
      <c r="L60" s="19">
        <v>23</v>
      </c>
      <c r="M60" s="19">
        <v>23</v>
      </c>
      <c r="N60" s="19">
        <v>23</v>
      </c>
    </row>
    <row r="61" spans="2:14" ht="16.5" thickBot="1" x14ac:dyDescent="0.3">
      <c r="B61" s="17" t="s">
        <v>125</v>
      </c>
      <c r="C61" s="19">
        <v>0</v>
      </c>
      <c r="D61" s="19">
        <v>0</v>
      </c>
      <c r="E61" s="19">
        <v>0</v>
      </c>
      <c r="F61" s="19">
        <v>-35.9</v>
      </c>
      <c r="G61" s="19">
        <v>21.07</v>
      </c>
      <c r="H61" s="19">
        <v>40.57</v>
      </c>
      <c r="I61" s="19">
        <v>40.57</v>
      </c>
      <c r="J61" s="19">
        <v>60.07</v>
      </c>
      <c r="K61" s="19">
        <v>60.07</v>
      </c>
      <c r="L61" s="19">
        <v>60.07</v>
      </c>
      <c r="M61" s="19">
        <v>60.07</v>
      </c>
      <c r="N61" s="19">
        <v>60.07</v>
      </c>
    </row>
    <row r="62" spans="2:14" ht="16.5" thickBot="1" x14ac:dyDescent="0.3">
      <c r="B62" s="17" t="s">
        <v>112</v>
      </c>
      <c r="C62" s="19">
        <v>0</v>
      </c>
      <c r="D62" s="19">
        <v>0</v>
      </c>
      <c r="E62" s="19">
        <v>0</v>
      </c>
      <c r="F62" s="19">
        <v>4.5599999999999996</v>
      </c>
      <c r="G62" s="19">
        <v>4.5599999999999996</v>
      </c>
      <c r="H62" s="19">
        <v>4.5599999999999996</v>
      </c>
      <c r="I62" s="19">
        <v>4.5599999999999996</v>
      </c>
      <c r="J62" s="19">
        <v>4.5599999999999996</v>
      </c>
      <c r="K62" s="19">
        <v>4.5599999999999996</v>
      </c>
      <c r="L62" s="19">
        <v>4.5599999999999996</v>
      </c>
      <c r="M62" s="19">
        <v>4.5599999999999996</v>
      </c>
      <c r="N62" s="19">
        <v>4.5599999999999996</v>
      </c>
    </row>
    <row r="63" spans="2:14" ht="16.5" thickBot="1" x14ac:dyDescent="0.3">
      <c r="B63" s="17" t="s">
        <v>126</v>
      </c>
      <c r="C63" s="19">
        <v>0</v>
      </c>
      <c r="D63" s="19">
        <v>0</v>
      </c>
      <c r="E63" s="19">
        <v>0</v>
      </c>
      <c r="F63" s="19">
        <v>0</v>
      </c>
      <c r="G63" s="19">
        <v>2.62</v>
      </c>
      <c r="H63" s="19">
        <v>2.62</v>
      </c>
      <c r="I63" s="19">
        <v>2.62</v>
      </c>
      <c r="J63" s="19">
        <v>2.62</v>
      </c>
      <c r="K63" s="19">
        <v>2.62</v>
      </c>
      <c r="L63" s="19">
        <v>2.62</v>
      </c>
      <c r="M63" s="19">
        <v>2.62</v>
      </c>
      <c r="N63" s="19">
        <v>2.62</v>
      </c>
    </row>
    <row r="64" spans="2:14" ht="16.5" thickBot="1" x14ac:dyDescent="0.3">
      <c r="B64" s="34" t="s">
        <v>127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2:14" ht="16.5" thickBot="1" x14ac:dyDescent="0.3">
      <c r="B65" s="17" t="s">
        <v>128</v>
      </c>
      <c r="C65" s="19">
        <v>0</v>
      </c>
      <c r="D65" s="19">
        <v>0</v>
      </c>
      <c r="E65" s="19">
        <v>0</v>
      </c>
      <c r="F65" s="19">
        <v>-35.9</v>
      </c>
      <c r="G65" s="19">
        <v>21.07</v>
      </c>
      <c r="H65" s="19">
        <v>40.57</v>
      </c>
      <c r="I65" s="19">
        <v>40.57</v>
      </c>
      <c r="J65" s="19">
        <v>60.07</v>
      </c>
      <c r="K65" s="19">
        <v>60.07</v>
      </c>
      <c r="L65" s="19">
        <v>60.07</v>
      </c>
      <c r="M65" s="19">
        <v>60.07</v>
      </c>
      <c r="N65" s="19">
        <v>60.07</v>
      </c>
    </row>
    <row r="66" spans="2:14" ht="16.5" thickBot="1" x14ac:dyDescent="0.3">
      <c r="B66" s="17" t="s">
        <v>129</v>
      </c>
      <c r="C66" s="19">
        <v>0</v>
      </c>
      <c r="D66" s="19">
        <v>0</v>
      </c>
      <c r="E66" s="19">
        <v>0</v>
      </c>
      <c r="F66" s="19">
        <v>0</v>
      </c>
      <c r="G66" s="19">
        <v>3.16</v>
      </c>
      <c r="H66" s="19">
        <v>6.09</v>
      </c>
      <c r="I66" s="19">
        <v>6.09</v>
      </c>
      <c r="J66" s="19">
        <v>9.01</v>
      </c>
      <c r="K66" s="19">
        <v>9.01</v>
      </c>
      <c r="L66" s="19">
        <v>9.01</v>
      </c>
      <c r="M66" s="19">
        <v>9.01</v>
      </c>
      <c r="N66" s="19">
        <v>9.01</v>
      </c>
    </row>
    <row r="67" spans="2:14" ht="16.5" thickBot="1" x14ac:dyDescent="0.3">
      <c r="B67" s="34" t="s">
        <v>130</v>
      </c>
      <c r="C67" s="19">
        <v>0</v>
      </c>
      <c r="D67" s="19">
        <v>0</v>
      </c>
      <c r="E67" s="19">
        <v>0</v>
      </c>
      <c r="F67" s="35">
        <v>-35.9</v>
      </c>
      <c r="G67" s="35">
        <v>17.91</v>
      </c>
      <c r="H67" s="35">
        <v>34.479999999999997</v>
      </c>
      <c r="I67" s="35">
        <v>34.479999999999997</v>
      </c>
      <c r="J67" s="35">
        <v>51.06</v>
      </c>
      <c r="K67" s="35">
        <v>51.06</v>
      </c>
      <c r="L67" s="35">
        <v>51.06</v>
      </c>
      <c r="M67" s="35">
        <v>51.06</v>
      </c>
      <c r="N67" s="35">
        <v>51.06</v>
      </c>
    </row>
    <row r="68" spans="2:14" ht="16.5" thickBot="1" x14ac:dyDescent="0.3">
      <c r="B68" s="34" t="s">
        <v>154</v>
      </c>
      <c r="C68" s="19">
        <v>0</v>
      </c>
      <c r="D68" s="19">
        <v>0</v>
      </c>
      <c r="E68" s="19">
        <v>0</v>
      </c>
      <c r="F68" s="19">
        <v>0</v>
      </c>
      <c r="G68" s="41">
        <f t="shared" ref="G68:M68" si="4">G61/G56*100</f>
        <v>17.558333333333334</v>
      </c>
      <c r="H68" s="41">
        <f t="shared" si="4"/>
        <v>27.04666666666667</v>
      </c>
      <c r="I68" s="41">
        <f t="shared" si="4"/>
        <v>27.04666666666667</v>
      </c>
      <c r="J68" s="41">
        <f t="shared" si="4"/>
        <v>33.37222222222222</v>
      </c>
      <c r="K68" s="41">
        <f t="shared" si="4"/>
        <v>33.37222222222222</v>
      </c>
      <c r="L68" s="41">
        <f t="shared" si="4"/>
        <v>33.37222222222222</v>
      </c>
      <c r="M68" s="41">
        <f t="shared" si="4"/>
        <v>33.37222222222222</v>
      </c>
      <c r="N68" s="41">
        <f>N61/N56*100</f>
        <v>33.37222222222222</v>
      </c>
    </row>
    <row r="72" spans="2:14" ht="16.5" thickBot="1" x14ac:dyDescent="0.3">
      <c r="B72" s="198" t="s">
        <v>160</v>
      </c>
      <c r="C72" s="198"/>
      <c r="D72" s="198"/>
      <c r="E72" s="198"/>
      <c r="F72" s="198"/>
      <c r="G72" s="198"/>
      <c r="H72" s="198"/>
      <c r="I72" s="198"/>
    </row>
    <row r="73" spans="2:14" ht="16.5" thickBot="1" x14ac:dyDescent="0.3">
      <c r="B73" s="14" t="s">
        <v>132</v>
      </c>
      <c r="C73" s="16" t="s">
        <v>58</v>
      </c>
      <c r="D73" s="16" t="s">
        <v>42</v>
      </c>
      <c r="E73" s="16" t="s">
        <v>43</v>
      </c>
      <c r="F73" s="16" t="s">
        <v>44</v>
      </c>
      <c r="G73" s="16" t="s">
        <v>45</v>
      </c>
      <c r="H73" s="16" t="s">
        <v>59</v>
      </c>
      <c r="I73" s="16" t="s">
        <v>60</v>
      </c>
      <c r="J73" s="16" t="s">
        <v>61</v>
      </c>
      <c r="K73" s="16" t="s">
        <v>62</v>
      </c>
      <c r="L73" s="16" t="s">
        <v>63</v>
      </c>
      <c r="M73" s="16" t="s">
        <v>51</v>
      </c>
      <c r="N73" s="16" t="s">
        <v>64</v>
      </c>
    </row>
    <row r="74" spans="2:14" ht="16.5" thickBot="1" x14ac:dyDescent="0.3">
      <c r="B74" s="17" t="s">
        <v>105</v>
      </c>
      <c r="C74" s="19">
        <v>180</v>
      </c>
      <c r="D74" s="19">
        <v>180</v>
      </c>
      <c r="E74" s="19">
        <v>240</v>
      </c>
      <c r="F74" s="19">
        <v>240</v>
      </c>
      <c r="G74" s="19">
        <v>240</v>
      </c>
      <c r="H74" s="19">
        <v>240</v>
      </c>
      <c r="I74" s="19">
        <v>240</v>
      </c>
      <c r="J74" s="19">
        <v>240</v>
      </c>
      <c r="K74" s="19">
        <v>240</v>
      </c>
      <c r="L74" s="19">
        <v>270</v>
      </c>
      <c r="M74" s="19">
        <v>270</v>
      </c>
      <c r="N74" s="19">
        <v>270</v>
      </c>
    </row>
    <row r="75" spans="2:14" ht="16.5" thickBot="1" x14ac:dyDescent="0.3">
      <c r="B75" s="17" t="s">
        <v>133</v>
      </c>
      <c r="C75" s="19">
        <v>58.41</v>
      </c>
      <c r="D75" s="19">
        <v>58.41</v>
      </c>
      <c r="E75" s="19">
        <v>58.41</v>
      </c>
      <c r="F75" s="19">
        <v>58.41</v>
      </c>
      <c r="G75" s="19">
        <v>58.41</v>
      </c>
      <c r="H75" s="19">
        <v>58.41</v>
      </c>
      <c r="I75" s="19">
        <v>58.41</v>
      </c>
      <c r="J75" s="19">
        <v>58.41</v>
      </c>
      <c r="K75" s="19">
        <v>58.41</v>
      </c>
      <c r="L75" s="19">
        <v>58.41</v>
      </c>
      <c r="M75" s="19">
        <v>58.41</v>
      </c>
      <c r="N75" s="19">
        <v>58.41</v>
      </c>
    </row>
    <row r="76" spans="2:14" ht="16.5" thickBot="1" x14ac:dyDescent="0.3">
      <c r="B76" s="17" t="s">
        <v>122</v>
      </c>
      <c r="C76" s="19">
        <v>121.6</v>
      </c>
      <c r="D76" s="19">
        <v>121.6</v>
      </c>
      <c r="E76" s="19">
        <v>181.6</v>
      </c>
      <c r="F76" s="19">
        <v>181.6</v>
      </c>
      <c r="G76" s="19">
        <v>181.6</v>
      </c>
      <c r="H76" s="19">
        <v>181.6</v>
      </c>
      <c r="I76" s="19">
        <v>181.6</v>
      </c>
      <c r="J76" s="19">
        <v>181.6</v>
      </c>
      <c r="K76" s="19">
        <v>181.6</v>
      </c>
      <c r="L76" s="19">
        <v>211.6</v>
      </c>
      <c r="M76" s="19">
        <v>211.6</v>
      </c>
      <c r="N76" s="19">
        <v>211.6</v>
      </c>
    </row>
    <row r="77" spans="2:14" ht="16.5" thickBot="1" x14ac:dyDescent="0.3">
      <c r="B77" s="17" t="s">
        <v>134</v>
      </c>
      <c r="C77" s="19">
        <v>31.34</v>
      </c>
      <c r="D77" s="19">
        <v>31.34</v>
      </c>
      <c r="E77" s="19">
        <v>31.34</v>
      </c>
      <c r="F77" s="19">
        <v>31.34</v>
      </c>
      <c r="G77" s="19">
        <v>31.34</v>
      </c>
      <c r="H77" s="19">
        <v>31.34</v>
      </c>
      <c r="I77" s="19">
        <v>31.34</v>
      </c>
      <c r="J77" s="19">
        <v>31.34</v>
      </c>
      <c r="K77" s="19">
        <v>31.34</v>
      </c>
      <c r="L77" s="19">
        <v>31.34</v>
      </c>
      <c r="M77" s="19">
        <v>31.34</v>
      </c>
      <c r="N77" s="19">
        <v>31.34</v>
      </c>
    </row>
    <row r="78" spans="2:14" ht="16.5" thickBot="1" x14ac:dyDescent="0.3">
      <c r="B78" s="17" t="s">
        <v>124</v>
      </c>
      <c r="C78" s="19">
        <v>23</v>
      </c>
      <c r="D78" s="19">
        <v>23</v>
      </c>
      <c r="E78" s="19">
        <v>44</v>
      </c>
      <c r="F78" s="19">
        <v>44</v>
      </c>
      <c r="G78" s="19">
        <v>44</v>
      </c>
      <c r="H78" s="19">
        <v>44</v>
      </c>
      <c r="I78" s="19">
        <v>44</v>
      </c>
      <c r="J78" s="19">
        <v>44</v>
      </c>
      <c r="K78" s="19">
        <v>44</v>
      </c>
      <c r="L78" s="19">
        <v>54.7</v>
      </c>
      <c r="M78" s="19">
        <v>54.7</v>
      </c>
      <c r="N78" s="19">
        <v>54.7</v>
      </c>
    </row>
    <row r="79" spans="2:14" ht="16.5" thickBot="1" x14ac:dyDescent="0.3">
      <c r="B79" s="17" t="s">
        <v>125</v>
      </c>
      <c r="C79" s="19">
        <v>60.08</v>
      </c>
      <c r="D79" s="19">
        <v>60.08</v>
      </c>
      <c r="E79" s="19">
        <v>99.08</v>
      </c>
      <c r="F79" s="19">
        <v>99.08</v>
      </c>
      <c r="G79" s="19">
        <v>99.08</v>
      </c>
      <c r="H79" s="19">
        <v>99.08</v>
      </c>
      <c r="I79" s="19">
        <v>99.08</v>
      </c>
      <c r="J79" s="19">
        <v>99.08</v>
      </c>
      <c r="K79" s="19">
        <v>99.08</v>
      </c>
      <c r="L79" s="19">
        <v>118.38</v>
      </c>
      <c r="M79" s="19">
        <v>118.38</v>
      </c>
      <c r="N79" s="19">
        <v>118.38</v>
      </c>
    </row>
    <row r="80" spans="2:14" ht="16.5" thickBot="1" x14ac:dyDescent="0.3">
      <c r="B80" s="17" t="s">
        <v>112</v>
      </c>
      <c r="C80" s="19">
        <v>4.5599999999999996</v>
      </c>
      <c r="D80" s="19">
        <v>4.5599999999999996</v>
      </c>
      <c r="E80" s="19">
        <v>4.5599999999999996</v>
      </c>
      <c r="F80" s="19">
        <v>4.5599999999999996</v>
      </c>
      <c r="G80" s="19">
        <v>4.5599999999999996</v>
      </c>
      <c r="H80" s="19">
        <v>4.5599999999999996</v>
      </c>
      <c r="I80" s="19">
        <v>4.5599999999999996</v>
      </c>
      <c r="J80" s="19">
        <v>4.5599999999999996</v>
      </c>
      <c r="K80" s="19">
        <v>4.5599999999999996</v>
      </c>
      <c r="L80" s="19">
        <v>4.5599999999999996</v>
      </c>
      <c r="M80" s="19">
        <v>4.5599999999999996</v>
      </c>
      <c r="N80" s="19">
        <v>4.5599999999999996</v>
      </c>
    </row>
    <row r="81" spans="2:14" ht="16.5" thickBot="1" x14ac:dyDescent="0.3">
      <c r="B81" s="17" t="s">
        <v>135</v>
      </c>
      <c r="C81" s="19">
        <v>2.62</v>
      </c>
      <c r="D81" s="19">
        <v>2.62</v>
      </c>
      <c r="E81" s="19">
        <v>2.62</v>
      </c>
      <c r="F81" s="19">
        <v>2.62</v>
      </c>
      <c r="G81" s="19">
        <v>2.62</v>
      </c>
      <c r="H81" s="19">
        <v>2.62</v>
      </c>
      <c r="I81" s="19">
        <v>2.62</v>
      </c>
      <c r="J81" s="19">
        <v>2.62</v>
      </c>
      <c r="K81" s="19">
        <v>2.62</v>
      </c>
      <c r="L81" s="19">
        <v>2.62</v>
      </c>
      <c r="M81" s="19">
        <v>2.62</v>
      </c>
      <c r="N81" s="19">
        <v>2.62</v>
      </c>
    </row>
    <row r="82" spans="2:14" ht="16.5" thickBot="1" x14ac:dyDescent="0.3">
      <c r="B82" s="34" t="s">
        <v>127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6.5" thickBot="1" x14ac:dyDescent="0.3">
      <c r="B83" s="17" t="s">
        <v>128</v>
      </c>
      <c r="C83" s="19">
        <v>60.08</v>
      </c>
      <c r="D83" s="19">
        <v>60.08</v>
      </c>
      <c r="E83" s="19">
        <v>99.08</v>
      </c>
      <c r="F83" s="19">
        <v>99.08</v>
      </c>
      <c r="G83" s="19">
        <v>99.08</v>
      </c>
      <c r="H83" s="19">
        <v>99.08</v>
      </c>
      <c r="I83" s="19">
        <v>99.08</v>
      </c>
      <c r="J83" s="19">
        <v>99.08</v>
      </c>
      <c r="K83" s="19">
        <v>99.08</v>
      </c>
      <c r="L83" s="19">
        <v>118.38</v>
      </c>
      <c r="M83" s="19">
        <v>118.38</v>
      </c>
      <c r="N83" s="19">
        <v>118.38</v>
      </c>
    </row>
    <row r="84" spans="2:14" ht="16.5" thickBot="1" x14ac:dyDescent="0.3">
      <c r="B84" s="17" t="s">
        <v>129</v>
      </c>
      <c r="C84" s="19">
        <v>9.0120000000000005</v>
      </c>
      <c r="D84" s="19">
        <v>9.0120000000000005</v>
      </c>
      <c r="E84" s="19">
        <v>14.862</v>
      </c>
      <c r="F84" s="19">
        <v>14.862</v>
      </c>
      <c r="G84" s="19">
        <v>14.862</v>
      </c>
      <c r="H84" s="19">
        <v>14.862</v>
      </c>
      <c r="I84" s="19">
        <v>14.862</v>
      </c>
      <c r="J84" s="19">
        <v>14.862</v>
      </c>
      <c r="K84" s="19">
        <v>14.862</v>
      </c>
      <c r="L84" s="19">
        <v>17.757000000000001</v>
      </c>
      <c r="M84" s="19">
        <v>17.757000000000001</v>
      </c>
      <c r="N84" s="19">
        <v>17.757000000000001</v>
      </c>
    </row>
    <row r="85" spans="2:14" ht="16.5" thickBot="1" x14ac:dyDescent="0.3">
      <c r="B85" s="34" t="s">
        <v>130</v>
      </c>
      <c r="C85" s="35">
        <v>51.07</v>
      </c>
      <c r="D85" s="35">
        <v>51.07</v>
      </c>
      <c r="E85" s="35">
        <v>84.22</v>
      </c>
      <c r="F85" s="35">
        <v>84.22</v>
      </c>
      <c r="G85" s="35">
        <v>84.22</v>
      </c>
      <c r="H85" s="35">
        <v>84.22</v>
      </c>
      <c r="I85" s="35">
        <v>84.22</v>
      </c>
      <c r="J85" s="35">
        <v>84.22</v>
      </c>
      <c r="K85" s="35">
        <v>84.22</v>
      </c>
      <c r="L85" s="35">
        <v>100.62</v>
      </c>
      <c r="M85" s="35">
        <v>100.62</v>
      </c>
      <c r="N85" s="35">
        <v>100.62</v>
      </c>
    </row>
    <row r="86" spans="2:14" ht="16.5" thickBot="1" x14ac:dyDescent="0.3">
      <c r="B86" s="34" t="s">
        <v>154</v>
      </c>
      <c r="C86" s="41">
        <f>C79/C74*100</f>
        <v>33.37777777777778</v>
      </c>
      <c r="D86" s="41">
        <f t="shared" ref="D86:N86" si="5">D79/D74*100</f>
        <v>33.37777777777778</v>
      </c>
      <c r="E86" s="41">
        <f t="shared" si="5"/>
        <v>41.283333333333331</v>
      </c>
      <c r="F86" s="41">
        <f t="shared" si="5"/>
        <v>41.283333333333331</v>
      </c>
      <c r="G86" s="41">
        <f t="shared" si="5"/>
        <v>41.283333333333331</v>
      </c>
      <c r="H86" s="41">
        <f t="shared" si="5"/>
        <v>41.283333333333331</v>
      </c>
      <c r="I86" s="41">
        <f t="shared" si="5"/>
        <v>41.283333333333331</v>
      </c>
      <c r="J86" s="41">
        <f t="shared" si="5"/>
        <v>41.283333333333331</v>
      </c>
      <c r="K86" s="41">
        <f t="shared" si="5"/>
        <v>41.283333333333331</v>
      </c>
      <c r="L86" s="41">
        <f t="shared" si="5"/>
        <v>43.844444444444441</v>
      </c>
      <c r="M86" s="41">
        <f t="shared" si="5"/>
        <v>43.844444444444441</v>
      </c>
      <c r="N86" s="41">
        <f t="shared" si="5"/>
        <v>43.844444444444441</v>
      </c>
    </row>
    <row r="89" spans="2:14" ht="16.5" thickBot="1" x14ac:dyDescent="0.3">
      <c r="B89" s="198" t="s">
        <v>161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</row>
    <row r="90" spans="2:14" ht="16.5" thickBot="1" x14ac:dyDescent="0.3">
      <c r="B90" s="14" t="s">
        <v>132</v>
      </c>
      <c r="C90" s="16" t="s">
        <v>58</v>
      </c>
      <c r="D90" s="16" t="s">
        <v>42</v>
      </c>
      <c r="E90" s="16" t="s">
        <v>43</v>
      </c>
      <c r="F90" s="16" t="s">
        <v>44</v>
      </c>
      <c r="G90" s="16" t="s">
        <v>45</v>
      </c>
      <c r="H90" s="16" t="s">
        <v>59</v>
      </c>
      <c r="I90" s="16" t="s">
        <v>60</v>
      </c>
      <c r="J90" s="16" t="s">
        <v>61</v>
      </c>
      <c r="K90" s="16" t="s">
        <v>62</v>
      </c>
      <c r="L90" s="16" t="s">
        <v>63</v>
      </c>
      <c r="M90" s="16" t="s">
        <v>51</v>
      </c>
      <c r="N90" s="16" t="s">
        <v>64</v>
      </c>
    </row>
    <row r="91" spans="2:14" ht="16.5" thickBot="1" x14ac:dyDescent="0.3">
      <c r="B91" s="17" t="s">
        <v>105</v>
      </c>
      <c r="C91" s="19">
        <v>270</v>
      </c>
      <c r="D91" s="19">
        <v>270</v>
      </c>
      <c r="E91" s="19">
        <v>300</v>
      </c>
      <c r="F91" s="19">
        <v>300</v>
      </c>
      <c r="G91" s="19">
        <v>300</v>
      </c>
      <c r="H91" s="19">
        <v>300</v>
      </c>
      <c r="I91" s="19">
        <v>300</v>
      </c>
      <c r="J91" s="19">
        <v>300</v>
      </c>
      <c r="K91" s="19">
        <v>300</v>
      </c>
      <c r="L91" s="19">
        <v>300</v>
      </c>
      <c r="M91" s="19">
        <v>300</v>
      </c>
      <c r="N91" s="19">
        <v>300</v>
      </c>
    </row>
    <row r="92" spans="2:14" ht="16.5" thickBot="1" x14ac:dyDescent="0.3">
      <c r="B92" s="17" t="s">
        <v>133</v>
      </c>
      <c r="C92" s="19">
        <v>58.41</v>
      </c>
      <c r="D92" s="19">
        <v>58.41</v>
      </c>
      <c r="E92" s="19">
        <v>58.41</v>
      </c>
      <c r="F92" s="19">
        <v>58.41</v>
      </c>
      <c r="G92" s="19">
        <v>58.41</v>
      </c>
      <c r="H92" s="19">
        <v>58.41</v>
      </c>
      <c r="I92" s="19">
        <v>58.41</v>
      </c>
      <c r="J92" s="19">
        <v>58.41</v>
      </c>
      <c r="K92" s="19">
        <v>58.41</v>
      </c>
      <c r="L92" s="19">
        <v>58.41</v>
      </c>
      <c r="M92" s="19">
        <v>58.41</v>
      </c>
      <c r="N92" s="19">
        <v>58.41</v>
      </c>
    </row>
    <row r="93" spans="2:14" ht="16.5" thickBot="1" x14ac:dyDescent="0.3">
      <c r="B93" s="17" t="s">
        <v>122</v>
      </c>
      <c r="C93" s="19">
        <v>211.59</v>
      </c>
      <c r="D93" s="19">
        <v>211.59</v>
      </c>
      <c r="E93" s="19">
        <v>241.59</v>
      </c>
      <c r="F93" s="19">
        <v>241.59</v>
      </c>
      <c r="G93" s="19">
        <v>241.59</v>
      </c>
      <c r="H93" s="19">
        <v>241.59</v>
      </c>
      <c r="I93" s="19">
        <v>241.59</v>
      </c>
      <c r="J93" s="19">
        <v>241.59</v>
      </c>
      <c r="K93" s="19">
        <v>241.59</v>
      </c>
      <c r="L93" s="19">
        <v>241.59</v>
      </c>
      <c r="M93" s="19">
        <v>241.59</v>
      </c>
      <c r="N93" s="19">
        <v>241.59</v>
      </c>
    </row>
    <row r="94" spans="2:14" ht="16.5" thickBot="1" x14ac:dyDescent="0.3">
      <c r="B94" s="17" t="s">
        <v>134</v>
      </c>
      <c r="C94" s="19">
        <v>31.34</v>
      </c>
      <c r="D94" s="19">
        <v>31.34</v>
      </c>
      <c r="E94" s="19">
        <v>31.34</v>
      </c>
      <c r="F94" s="19">
        <v>31.34</v>
      </c>
      <c r="G94" s="19">
        <v>31.34</v>
      </c>
      <c r="H94" s="19">
        <v>31.34</v>
      </c>
      <c r="I94" s="19">
        <v>31.34</v>
      </c>
      <c r="J94" s="19">
        <v>31.34</v>
      </c>
      <c r="K94" s="19">
        <v>31.34</v>
      </c>
      <c r="L94" s="19">
        <v>31.34</v>
      </c>
      <c r="M94" s="19">
        <v>31.34</v>
      </c>
      <c r="N94" s="19">
        <v>31.34</v>
      </c>
    </row>
    <row r="95" spans="2:14" ht="16.5" thickBot="1" x14ac:dyDescent="0.3">
      <c r="B95" s="17" t="s">
        <v>124</v>
      </c>
      <c r="C95" s="19">
        <v>54.7</v>
      </c>
      <c r="D95" s="19">
        <v>54.7</v>
      </c>
      <c r="E95" s="19">
        <v>65</v>
      </c>
      <c r="F95" s="19">
        <v>65</v>
      </c>
      <c r="G95" s="19">
        <v>65</v>
      </c>
      <c r="H95" s="19">
        <v>65</v>
      </c>
      <c r="I95" s="19">
        <v>65</v>
      </c>
      <c r="J95" s="19">
        <v>65</v>
      </c>
      <c r="K95" s="19">
        <v>65</v>
      </c>
      <c r="L95" s="19">
        <v>65</v>
      </c>
      <c r="M95" s="19">
        <v>65</v>
      </c>
      <c r="N95" s="19">
        <v>65</v>
      </c>
    </row>
    <row r="96" spans="2:14" ht="16.5" thickBot="1" x14ac:dyDescent="0.3">
      <c r="B96" s="17" t="s">
        <v>125</v>
      </c>
      <c r="C96" s="19">
        <v>118.37</v>
      </c>
      <c r="D96" s="19">
        <v>118.37</v>
      </c>
      <c r="E96" s="19">
        <v>138.07</v>
      </c>
      <c r="F96" s="19">
        <v>138.07</v>
      </c>
      <c r="G96" s="19">
        <v>138.07</v>
      </c>
      <c r="H96" s="19">
        <v>140.69</v>
      </c>
      <c r="I96" s="19">
        <v>140.69</v>
      </c>
      <c r="J96" s="19">
        <v>140.69</v>
      </c>
      <c r="K96" s="19">
        <v>140.69</v>
      </c>
      <c r="L96" s="19">
        <v>140.69</v>
      </c>
      <c r="M96" s="19">
        <v>140.69</v>
      </c>
      <c r="N96" s="19">
        <v>140.69</v>
      </c>
    </row>
    <row r="97" spans="2:14" ht="16.5" thickBot="1" x14ac:dyDescent="0.3">
      <c r="B97" s="17" t="s">
        <v>112</v>
      </c>
      <c r="C97" s="19">
        <v>4.5599999999999996</v>
      </c>
      <c r="D97" s="19">
        <v>4.5599999999999996</v>
      </c>
      <c r="E97" s="19">
        <v>4.5599999999999996</v>
      </c>
      <c r="F97" s="19">
        <v>4.5599999999999996</v>
      </c>
      <c r="G97" s="19">
        <v>4.5599999999999996</v>
      </c>
      <c r="H97" s="19">
        <v>4.5599999999999996</v>
      </c>
      <c r="I97" s="19">
        <v>4.5599999999999996</v>
      </c>
      <c r="J97" s="19">
        <v>4.5599999999999996</v>
      </c>
      <c r="K97" s="19">
        <v>4.5599999999999996</v>
      </c>
      <c r="L97" s="19">
        <v>4.5599999999999996</v>
      </c>
      <c r="M97" s="19">
        <v>4.5599999999999996</v>
      </c>
      <c r="N97" s="19">
        <v>4.5599999999999996</v>
      </c>
    </row>
    <row r="98" spans="2:14" ht="16.5" thickBot="1" x14ac:dyDescent="0.3">
      <c r="B98" s="17" t="s">
        <v>135</v>
      </c>
      <c r="C98" s="19">
        <v>2.62</v>
      </c>
      <c r="D98" s="19">
        <v>2.62</v>
      </c>
      <c r="E98" s="19">
        <v>2.62</v>
      </c>
      <c r="F98" s="19">
        <v>2.62</v>
      </c>
      <c r="G98" s="19">
        <v>2.62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</row>
    <row r="99" spans="2:14" ht="16.5" thickBot="1" x14ac:dyDescent="0.3">
      <c r="B99" s="17" t="s">
        <v>131</v>
      </c>
      <c r="C99" s="19">
        <v>16.2</v>
      </c>
      <c r="D99" s="19">
        <v>16.2</v>
      </c>
      <c r="E99" s="19">
        <v>18</v>
      </c>
      <c r="F99" s="19">
        <v>18</v>
      </c>
      <c r="G99" s="19">
        <v>18</v>
      </c>
      <c r="H99" s="19">
        <v>18</v>
      </c>
      <c r="I99" s="19">
        <v>18</v>
      </c>
      <c r="J99" s="19">
        <v>18</v>
      </c>
      <c r="K99" s="19">
        <v>18</v>
      </c>
      <c r="L99" s="19">
        <v>18</v>
      </c>
      <c r="M99" s="19">
        <v>18</v>
      </c>
      <c r="N99" s="19">
        <v>18</v>
      </c>
    </row>
    <row r="100" spans="2:14" ht="16.5" thickBot="1" x14ac:dyDescent="0.3">
      <c r="B100" s="34" t="s">
        <v>130</v>
      </c>
      <c r="C100" s="43">
        <v>102.17</v>
      </c>
      <c r="D100" s="43">
        <v>102.17</v>
      </c>
      <c r="E100" s="43">
        <v>120.07</v>
      </c>
      <c r="F100" s="43">
        <v>120.07</v>
      </c>
      <c r="G100" s="43">
        <v>120.07</v>
      </c>
      <c r="H100" s="43">
        <v>122.69</v>
      </c>
      <c r="I100" s="43">
        <v>122.69</v>
      </c>
      <c r="J100" s="43">
        <v>122.69</v>
      </c>
      <c r="K100" s="43">
        <v>122.69</v>
      </c>
      <c r="L100" s="43">
        <v>122.69</v>
      </c>
      <c r="M100" s="43">
        <v>122.69</v>
      </c>
      <c r="N100" s="43">
        <v>122.69</v>
      </c>
    </row>
    <row r="101" spans="2:14" ht="16.5" thickBot="1" x14ac:dyDescent="0.3">
      <c r="B101" s="42" t="s">
        <v>155</v>
      </c>
      <c r="C101" s="44">
        <f>C96/C91*100</f>
        <v>43.840740740740742</v>
      </c>
      <c r="D101" s="44">
        <f t="shared" ref="D101:N101" si="6">D96/D91*100</f>
        <v>43.840740740740742</v>
      </c>
      <c r="E101" s="44">
        <f t="shared" si="6"/>
        <v>46.023333333333333</v>
      </c>
      <c r="F101" s="44">
        <f t="shared" si="6"/>
        <v>46.023333333333333</v>
      </c>
      <c r="G101" s="44">
        <f t="shared" si="6"/>
        <v>46.023333333333333</v>
      </c>
      <c r="H101" s="44">
        <f t="shared" si="6"/>
        <v>46.896666666666661</v>
      </c>
      <c r="I101" s="44">
        <f t="shared" si="6"/>
        <v>46.896666666666661</v>
      </c>
      <c r="J101" s="44">
        <f t="shared" si="6"/>
        <v>46.896666666666661</v>
      </c>
      <c r="K101" s="44">
        <f t="shared" si="6"/>
        <v>46.896666666666661</v>
      </c>
      <c r="L101" s="44">
        <f t="shared" si="6"/>
        <v>46.896666666666661</v>
      </c>
      <c r="M101" s="44">
        <f t="shared" si="6"/>
        <v>46.896666666666661</v>
      </c>
      <c r="N101" s="44">
        <f t="shared" si="6"/>
        <v>46.896666666666661</v>
      </c>
    </row>
  </sheetData>
  <mergeCells count="8">
    <mergeCell ref="B54:I54"/>
    <mergeCell ref="B72:I72"/>
    <mergeCell ref="B89:N89"/>
    <mergeCell ref="B1:S1"/>
    <mergeCell ref="C28:C34"/>
    <mergeCell ref="D28:D34"/>
    <mergeCell ref="E28:E34"/>
    <mergeCell ref="F28:F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A42" sqref="A42:E42"/>
    </sheetView>
  </sheetViews>
  <sheetFormatPr defaultRowHeight="15" x14ac:dyDescent="0.25"/>
  <cols>
    <col min="1" max="1" width="54" customWidth="1"/>
    <col min="2" max="2" width="23.42578125" customWidth="1"/>
    <col min="3" max="3" width="15.7109375" customWidth="1"/>
    <col min="4" max="4" width="45.5703125" customWidth="1"/>
    <col min="5" max="5" width="13.7109375" customWidth="1"/>
  </cols>
  <sheetData>
    <row r="1" spans="1:17" ht="15.75" x14ac:dyDescent="0.25">
      <c r="A1" s="196" t="s">
        <v>25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3" spans="1:17" ht="16.5" thickBot="1" x14ac:dyDescent="0.3">
      <c r="A3" s="195" t="s">
        <v>387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7" ht="32.25" thickBot="1" x14ac:dyDescent="0.3">
      <c r="A4" s="101" t="s">
        <v>346</v>
      </c>
      <c r="B4" s="102" t="s">
        <v>347</v>
      </c>
      <c r="C4" s="102" t="s">
        <v>348</v>
      </c>
      <c r="D4" s="102" t="s">
        <v>339</v>
      </c>
    </row>
    <row r="5" spans="1:17" ht="16.5" thickBot="1" x14ac:dyDescent="0.3">
      <c r="A5" s="96" t="s">
        <v>349</v>
      </c>
      <c r="B5" s="97" t="s">
        <v>350</v>
      </c>
      <c r="C5" s="97">
        <v>1</v>
      </c>
      <c r="D5" s="97" t="s">
        <v>351</v>
      </c>
    </row>
    <row r="6" spans="1:17" ht="32.25" thickBot="1" x14ac:dyDescent="0.3">
      <c r="A6" s="96" t="s">
        <v>352</v>
      </c>
      <c r="B6" s="97" t="s">
        <v>353</v>
      </c>
      <c r="C6" s="97" t="s">
        <v>18</v>
      </c>
      <c r="D6" s="97" t="s">
        <v>354</v>
      </c>
    </row>
    <row r="7" spans="1:17" ht="16.5" thickBot="1" x14ac:dyDescent="0.3">
      <c r="A7" s="96" t="s">
        <v>355</v>
      </c>
      <c r="B7" s="97">
        <v>25000</v>
      </c>
      <c r="C7" s="97">
        <v>2</v>
      </c>
      <c r="D7" s="97" t="s">
        <v>356</v>
      </c>
    </row>
    <row r="8" spans="1:17" ht="16.5" thickBot="1" x14ac:dyDescent="0.3">
      <c r="A8" s="96" t="s">
        <v>357</v>
      </c>
      <c r="B8" s="97">
        <v>13890</v>
      </c>
      <c r="C8" s="97">
        <v>1</v>
      </c>
      <c r="D8" s="97" t="s">
        <v>351</v>
      </c>
    </row>
    <row r="9" spans="1:17" ht="15.75" customHeight="1" x14ac:dyDescent="0.25">
      <c r="A9" s="103" t="s">
        <v>358</v>
      </c>
      <c r="B9" s="104"/>
      <c r="C9" s="199"/>
      <c r="D9" s="202" t="s">
        <v>365</v>
      </c>
    </row>
    <row r="10" spans="1:17" ht="15.75" customHeight="1" x14ac:dyDescent="0.25">
      <c r="A10" s="103" t="s">
        <v>359</v>
      </c>
      <c r="B10" s="107">
        <v>0.22</v>
      </c>
      <c r="C10" s="200"/>
      <c r="D10" s="203"/>
    </row>
    <row r="11" spans="1:17" ht="15.75" customHeight="1" x14ac:dyDescent="0.25">
      <c r="A11" s="103" t="s">
        <v>360</v>
      </c>
      <c r="B11" s="104" t="s">
        <v>363</v>
      </c>
      <c r="C11" s="200"/>
      <c r="D11" s="203"/>
    </row>
    <row r="12" spans="1:17" ht="15.75" customHeight="1" x14ac:dyDescent="0.25">
      <c r="A12" s="103" t="s">
        <v>361</v>
      </c>
      <c r="B12" s="104" t="s">
        <v>364</v>
      </c>
      <c r="C12" s="200"/>
      <c r="D12" s="203"/>
    </row>
    <row r="13" spans="1:17" ht="15.75" customHeight="1" thickBot="1" x14ac:dyDescent="0.3">
      <c r="A13" s="96" t="s">
        <v>362</v>
      </c>
      <c r="B13" s="108"/>
      <c r="C13" s="201"/>
      <c r="D13" s="204"/>
    </row>
    <row r="14" spans="1:17" ht="15.75" customHeight="1" thickBot="1" x14ac:dyDescent="0.3">
      <c r="A14" s="96" t="s">
        <v>366</v>
      </c>
      <c r="B14" s="97"/>
      <c r="C14" s="97"/>
      <c r="D14" s="109" t="s">
        <v>367</v>
      </c>
    </row>
    <row r="15" spans="1:17" ht="15.75" customHeight="1" thickBot="1" x14ac:dyDescent="0.3">
      <c r="A15" s="105" t="s">
        <v>26</v>
      </c>
      <c r="B15" s="106"/>
      <c r="C15" s="106"/>
      <c r="D15" s="106" t="s">
        <v>368</v>
      </c>
    </row>
    <row r="17" spans="1:5" ht="15.75" customHeight="1" thickBot="1" x14ac:dyDescent="0.3">
      <c r="A17" s="197" t="s">
        <v>388</v>
      </c>
      <c r="B17" s="197"/>
      <c r="C17" s="197"/>
      <c r="D17" s="197"/>
    </row>
    <row r="18" spans="1:5" ht="16.5" customHeight="1" thickBot="1" x14ac:dyDescent="0.3">
      <c r="A18" s="91" t="s">
        <v>27</v>
      </c>
      <c r="B18" s="92" t="s">
        <v>28</v>
      </c>
      <c r="C18" s="92" t="s">
        <v>325</v>
      </c>
      <c r="D18" s="92" t="s">
        <v>32</v>
      </c>
    </row>
    <row r="19" spans="1:5" ht="16.5" thickBot="1" x14ac:dyDescent="0.3">
      <c r="A19" s="93" t="s">
        <v>326</v>
      </c>
      <c r="B19" s="94">
        <v>10000</v>
      </c>
      <c r="C19" s="95">
        <v>1</v>
      </c>
      <c r="D19" s="94">
        <v>10000</v>
      </c>
    </row>
    <row r="20" spans="1:5" ht="16.5" thickBot="1" x14ac:dyDescent="0.3">
      <c r="A20" s="93" t="s">
        <v>327</v>
      </c>
      <c r="B20" s="94">
        <v>15000</v>
      </c>
      <c r="C20" s="95">
        <v>1</v>
      </c>
      <c r="D20" s="94">
        <v>15000</v>
      </c>
    </row>
    <row r="21" spans="1:5" ht="16.5" thickBot="1" x14ac:dyDescent="0.3">
      <c r="A21" s="93" t="s">
        <v>328</v>
      </c>
      <c r="B21" s="94">
        <v>20000</v>
      </c>
      <c r="C21" s="95">
        <v>4</v>
      </c>
      <c r="D21" s="111">
        <v>80000</v>
      </c>
    </row>
    <row r="22" spans="1:5" ht="16.5" thickBot="1" x14ac:dyDescent="0.3">
      <c r="A22" s="96" t="s">
        <v>329</v>
      </c>
      <c r="B22" s="97">
        <v>7000</v>
      </c>
      <c r="C22" s="97">
        <v>1</v>
      </c>
      <c r="D22" s="112">
        <v>7000</v>
      </c>
    </row>
    <row r="23" spans="1:5" ht="16.5" thickBot="1" x14ac:dyDescent="0.3">
      <c r="A23" s="93" t="s">
        <v>330</v>
      </c>
      <c r="B23" s="95">
        <v>1500</v>
      </c>
      <c r="C23" s="95">
        <v>1</v>
      </c>
      <c r="D23" s="111">
        <v>1500</v>
      </c>
    </row>
    <row r="24" spans="1:5" ht="16.5" thickBot="1" x14ac:dyDescent="0.3">
      <c r="A24" s="93" t="s">
        <v>331</v>
      </c>
      <c r="B24" s="95">
        <v>1000</v>
      </c>
      <c r="C24" s="95">
        <v>2</v>
      </c>
      <c r="D24" s="111">
        <v>2000</v>
      </c>
    </row>
    <row r="25" spans="1:5" ht="16.5" thickBot="1" x14ac:dyDescent="0.3">
      <c r="A25" s="93" t="s">
        <v>332</v>
      </c>
      <c r="B25" s="95">
        <v>2500</v>
      </c>
      <c r="C25" s="95">
        <v>2</v>
      </c>
      <c r="D25" s="94">
        <v>5000</v>
      </c>
    </row>
    <row r="26" spans="1:5" ht="16.5" thickBot="1" x14ac:dyDescent="0.3">
      <c r="A26" s="96" t="s">
        <v>333</v>
      </c>
      <c r="B26" s="98">
        <v>100000</v>
      </c>
      <c r="C26" s="97">
        <v>2</v>
      </c>
      <c r="D26" s="110">
        <v>200000</v>
      </c>
    </row>
    <row r="27" spans="1:5" ht="16.5" thickBot="1" x14ac:dyDescent="0.3">
      <c r="A27" s="96" t="s">
        <v>334</v>
      </c>
      <c r="B27" s="97">
        <v>700</v>
      </c>
      <c r="C27" s="97">
        <v>6</v>
      </c>
      <c r="D27" s="97">
        <v>4200</v>
      </c>
    </row>
    <row r="28" spans="1:5" ht="16.5" thickBot="1" x14ac:dyDescent="0.3">
      <c r="A28" s="96" t="s">
        <v>335</v>
      </c>
      <c r="B28" s="97">
        <v>2500</v>
      </c>
      <c r="C28" s="97">
        <v>6</v>
      </c>
      <c r="D28" s="97">
        <v>15000</v>
      </c>
    </row>
    <row r="29" spans="1:5" ht="16.5" thickBot="1" x14ac:dyDescent="0.3">
      <c r="A29" s="99" t="s">
        <v>26</v>
      </c>
      <c r="B29" s="100"/>
      <c r="C29" s="100"/>
      <c r="D29" s="100">
        <v>339700</v>
      </c>
    </row>
    <row r="31" spans="1:5" ht="16.5" thickBot="1" x14ac:dyDescent="0.3">
      <c r="A31" s="198" t="s">
        <v>389</v>
      </c>
      <c r="B31" s="198"/>
      <c r="C31" s="198"/>
      <c r="D31" s="198"/>
      <c r="E31" s="198"/>
    </row>
    <row r="32" spans="1:5" ht="16.5" thickBot="1" x14ac:dyDescent="0.3">
      <c r="A32" s="101" t="s">
        <v>336</v>
      </c>
      <c r="B32" s="102" t="s">
        <v>337</v>
      </c>
      <c r="C32" s="102" t="s">
        <v>338</v>
      </c>
      <c r="D32" s="102" t="s">
        <v>339</v>
      </c>
      <c r="E32" s="23"/>
    </row>
    <row r="33" spans="1:5" ht="16.5" thickBot="1" x14ac:dyDescent="0.3">
      <c r="A33" s="96" t="s">
        <v>340</v>
      </c>
      <c r="B33" s="97">
        <v>50000</v>
      </c>
      <c r="C33" s="97">
        <v>3</v>
      </c>
      <c r="D33" s="97">
        <v>150000</v>
      </c>
      <c r="E33" s="23"/>
    </row>
    <row r="34" spans="1:5" ht="16.5" thickBot="1" x14ac:dyDescent="0.3">
      <c r="A34" s="96" t="s">
        <v>341</v>
      </c>
      <c r="B34" s="97" t="s">
        <v>18</v>
      </c>
      <c r="C34" s="97" t="s">
        <v>18</v>
      </c>
      <c r="D34" s="97" t="s">
        <v>18</v>
      </c>
      <c r="E34" s="23"/>
    </row>
    <row r="35" spans="1:5" ht="16.5" thickBot="1" x14ac:dyDescent="0.3">
      <c r="A35" s="96" t="s">
        <v>342</v>
      </c>
      <c r="B35" s="97">
        <v>10000</v>
      </c>
      <c r="C35" s="97">
        <v>1</v>
      </c>
      <c r="D35" s="97">
        <v>10000</v>
      </c>
      <c r="E35" s="23"/>
    </row>
    <row r="36" spans="1:5" ht="16.5" thickBot="1" x14ac:dyDescent="0.3">
      <c r="A36" s="103" t="s">
        <v>343</v>
      </c>
      <c r="B36" s="199">
        <v>30000</v>
      </c>
      <c r="C36" s="199"/>
      <c r="D36" s="199">
        <v>30000</v>
      </c>
      <c r="E36" s="23"/>
    </row>
    <row r="37" spans="1:5" ht="16.5" thickBot="1" x14ac:dyDescent="0.3">
      <c r="A37" s="103" t="s">
        <v>344</v>
      </c>
      <c r="B37" s="200"/>
      <c r="C37" s="200"/>
      <c r="D37" s="200"/>
      <c r="E37" s="23"/>
    </row>
    <row r="38" spans="1:5" ht="16.5" thickBot="1" x14ac:dyDescent="0.3">
      <c r="A38" s="96" t="s">
        <v>345</v>
      </c>
      <c r="B38" s="201"/>
      <c r="C38" s="201"/>
      <c r="D38" s="201"/>
      <c r="E38" s="23"/>
    </row>
    <row r="39" spans="1:5" ht="16.5" thickBot="1" x14ac:dyDescent="0.3">
      <c r="A39" s="96" t="s">
        <v>29</v>
      </c>
      <c r="B39" s="97">
        <v>20000</v>
      </c>
      <c r="C39" s="97"/>
      <c r="D39" s="97">
        <v>20000</v>
      </c>
      <c r="E39" s="23"/>
    </row>
    <row r="40" spans="1:5" ht="16.5" thickBot="1" x14ac:dyDescent="0.3">
      <c r="A40" s="105" t="s">
        <v>26</v>
      </c>
      <c r="B40" s="106"/>
      <c r="C40" s="106"/>
      <c r="D40" s="106">
        <v>210000</v>
      </c>
      <c r="E40" s="23"/>
    </row>
    <row r="42" spans="1:5" ht="16.5" thickBot="1" x14ac:dyDescent="0.3">
      <c r="A42" s="195" t="s">
        <v>390</v>
      </c>
      <c r="B42" s="195"/>
      <c r="C42" s="195"/>
      <c r="D42" s="195"/>
      <c r="E42" s="195"/>
    </row>
    <row r="43" spans="1:5" ht="16.5" thickBot="1" x14ac:dyDescent="0.3">
      <c r="A43" s="14" t="s">
        <v>31</v>
      </c>
      <c r="B43" s="16" t="s">
        <v>32</v>
      </c>
    </row>
    <row r="44" spans="1:5" ht="32.25" thickBot="1" x14ac:dyDescent="0.3">
      <c r="A44" s="22" t="s">
        <v>33</v>
      </c>
      <c r="B44" s="19">
        <v>0</v>
      </c>
    </row>
    <row r="45" spans="1:5" ht="16.5" thickBot="1" x14ac:dyDescent="0.3">
      <c r="A45" s="22" t="s">
        <v>34</v>
      </c>
      <c r="B45" s="19">
        <v>500</v>
      </c>
    </row>
    <row r="46" spans="1:5" ht="16.5" thickBot="1" x14ac:dyDescent="0.3">
      <c r="A46" s="22" t="s">
        <v>35</v>
      </c>
      <c r="B46" s="19">
        <v>0</v>
      </c>
    </row>
    <row r="47" spans="1:5" ht="16.5" thickBot="1" x14ac:dyDescent="0.3">
      <c r="A47" s="17" t="s">
        <v>29</v>
      </c>
      <c r="B47" s="19">
        <v>20000</v>
      </c>
    </row>
    <row r="48" spans="1:5" ht="32.25" thickBot="1" x14ac:dyDescent="0.3">
      <c r="A48" s="22" t="s">
        <v>36</v>
      </c>
      <c r="B48" s="19">
        <v>190000</v>
      </c>
    </row>
    <row r="49" spans="1:3" ht="16.5" thickBot="1" x14ac:dyDescent="0.3">
      <c r="A49" s="17" t="s">
        <v>37</v>
      </c>
      <c r="B49" s="18">
        <v>339700</v>
      </c>
    </row>
    <row r="50" spans="1:3" ht="16.5" thickBot="1" x14ac:dyDescent="0.3">
      <c r="A50" s="87" t="s">
        <v>371</v>
      </c>
      <c r="B50" s="18">
        <f>108700*0.2</f>
        <v>21740</v>
      </c>
    </row>
    <row r="51" spans="1:3" ht="16.5" thickBot="1" x14ac:dyDescent="0.3">
      <c r="A51" s="87" t="s">
        <v>370</v>
      </c>
      <c r="B51" s="18">
        <v>87547.8</v>
      </c>
    </row>
    <row r="52" spans="1:3" ht="32.25" thickBot="1" x14ac:dyDescent="0.3">
      <c r="A52" s="17" t="s">
        <v>369</v>
      </c>
      <c r="B52" s="18">
        <v>30000</v>
      </c>
    </row>
    <row r="53" spans="1:3" ht="16.5" thickBot="1" x14ac:dyDescent="0.3">
      <c r="A53" s="22" t="s">
        <v>38</v>
      </c>
      <c r="B53" s="24">
        <f>SUM(B44:B52)</f>
        <v>689487.8</v>
      </c>
      <c r="C53">
        <v>689488</v>
      </c>
    </row>
  </sheetData>
  <mergeCells count="10">
    <mergeCell ref="A42:E42"/>
    <mergeCell ref="A1:Q1"/>
    <mergeCell ref="A3:M3"/>
    <mergeCell ref="A17:D17"/>
    <mergeCell ref="A31:E31"/>
    <mergeCell ref="B36:B38"/>
    <mergeCell ref="C36:C38"/>
    <mergeCell ref="D36:D38"/>
    <mergeCell ref="C9:C13"/>
    <mergeCell ref="D9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9" workbookViewId="0">
      <selection activeCell="K28" sqref="K28"/>
    </sheetView>
  </sheetViews>
  <sheetFormatPr defaultRowHeight="15" x14ac:dyDescent="0.25"/>
  <cols>
    <col min="1" max="1" width="37.7109375" customWidth="1"/>
    <col min="2" max="2" width="19.140625" customWidth="1"/>
    <col min="3" max="3" width="24.140625" customWidth="1"/>
    <col min="4" max="4" width="21.5703125" customWidth="1"/>
  </cols>
  <sheetData>
    <row r="1" spans="1:13" ht="15.75" x14ac:dyDescent="0.25">
      <c r="A1" s="210" t="s">
        <v>39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spans="1:13" ht="16.5" thickBot="1" x14ac:dyDescent="0.3">
      <c r="A3" s="197" t="s">
        <v>156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6.5" thickBot="1" x14ac:dyDescent="0.3">
      <c r="A4" s="25" t="s">
        <v>40</v>
      </c>
      <c r="B4" s="26" t="s">
        <v>41</v>
      </c>
      <c r="C4" s="26" t="s">
        <v>42</v>
      </c>
      <c r="D4" s="26" t="s">
        <v>43</v>
      </c>
      <c r="E4" s="26" t="s">
        <v>44</v>
      </c>
      <c r="F4" s="26" t="s">
        <v>45</v>
      </c>
      <c r="G4" s="26" t="s">
        <v>46</v>
      </c>
      <c r="H4" s="26" t="s">
        <v>47</v>
      </c>
      <c r="I4" s="26" t="s">
        <v>48</v>
      </c>
      <c r="J4" s="26" t="s">
        <v>49</v>
      </c>
      <c r="K4" s="26" t="s">
        <v>50</v>
      </c>
      <c r="L4" s="26" t="s">
        <v>51</v>
      </c>
      <c r="M4" s="26" t="s">
        <v>52</v>
      </c>
    </row>
    <row r="5" spans="1:13" ht="16.5" thickBot="1" x14ac:dyDescent="0.3">
      <c r="A5" s="27" t="s">
        <v>53</v>
      </c>
      <c r="B5" s="28">
        <v>0</v>
      </c>
      <c r="C5" s="28">
        <v>0</v>
      </c>
      <c r="D5" s="28">
        <v>0</v>
      </c>
      <c r="E5" s="28">
        <v>30</v>
      </c>
      <c r="F5" s="28">
        <v>30</v>
      </c>
      <c r="G5" s="28">
        <v>30</v>
      </c>
      <c r="H5" s="28">
        <v>30</v>
      </c>
      <c r="I5" s="28">
        <v>30</v>
      </c>
      <c r="J5" s="28">
        <v>30</v>
      </c>
      <c r="K5" s="28">
        <v>30</v>
      </c>
      <c r="L5" s="28">
        <v>30</v>
      </c>
      <c r="M5" s="28">
        <v>30</v>
      </c>
    </row>
    <row r="6" spans="1:13" ht="16.5" thickBot="1" x14ac:dyDescent="0.3">
      <c r="A6" s="27" t="s">
        <v>54</v>
      </c>
      <c r="B6" s="28">
        <v>0</v>
      </c>
      <c r="C6" s="28">
        <v>0</v>
      </c>
      <c r="D6" s="28">
        <v>0</v>
      </c>
      <c r="E6" s="28">
        <v>0</v>
      </c>
      <c r="F6" s="28">
        <v>1.6</v>
      </c>
      <c r="G6" s="28">
        <v>1.6</v>
      </c>
      <c r="H6" s="28">
        <v>1.6</v>
      </c>
      <c r="I6" s="28">
        <v>1.6</v>
      </c>
      <c r="J6" s="28">
        <v>1.6</v>
      </c>
      <c r="K6" s="28">
        <v>1.6</v>
      </c>
      <c r="L6" s="28">
        <v>1.6</v>
      </c>
      <c r="M6" s="28">
        <v>1.6</v>
      </c>
    </row>
    <row r="7" spans="1:13" ht="16.5" thickBot="1" x14ac:dyDescent="0.3">
      <c r="A7" s="27" t="s">
        <v>55</v>
      </c>
      <c r="B7" s="28">
        <v>0</v>
      </c>
      <c r="C7" s="28">
        <v>0</v>
      </c>
      <c r="D7" s="28">
        <v>0</v>
      </c>
      <c r="E7" s="28">
        <v>0</v>
      </c>
      <c r="F7" s="28">
        <v>5</v>
      </c>
      <c r="G7" s="28">
        <v>5</v>
      </c>
      <c r="H7" s="28">
        <v>5</v>
      </c>
      <c r="I7" s="28">
        <v>5</v>
      </c>
      <c r="J7" s="28">
        <v>5</v>
      </c>
      <c r="K7" s="28">
        <v>5</v>
      </c>
      <c r="L7" s="28">
        <v>5</v>
      </c>
      <c r="M7" s="28">
        <v>5</v>
      </c>
    </row>
    <row r="8" spans="1:13" ht="16.5" thickBot="1" x14ac:dyDescent="0.3">
      <c r="A8" s="27" t="s">
        <v>56</v>
      </c>
      <c r="B8" s="28">
        <v>0</v>
      </c>
      <c r="C8" s="28">
        <v>0</v>
      </c>
      <c r="D8" s="28">
        <v>0</v>
      </c>
      <c r="E8" s="28">
        <v>0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</row>
    <row r="9" spans="1:13" ht="16.5" thickBot="1" x14ac:dyDescent="0.3">
      <c r="A9" s="27" t="s">
        <v>30</v>
      </c>
      <c r="B9" s="28">
        <v>0</v>
      </c>
      <c r="C9" s="28">
        <v>0</v>
      </c>
      <c r="D9" s="28">
        <v>0</v>
      </c>
      <c r="E9" s="28">
        <v>0</v>
      </c>
      <c r="F9" s="28">
        <v>0.25</v>
      </c>
      <c r="G9" s="28">
        <v>0.25</v>
      </c>
      <c r="H9" s="28">
        <v>0.25</v>
      </c>
      <c r="I9" s="28">
        <v>0.25</v>
      </c>
      <c r="J9" s="28">
        <v>0.25</v>
      </c>
      <c r="K9" s="28">
        <v>0.25</v>
      </c>
      <c r="L9" s="28">
        <v>0.25</v>
      </c>
      <c r="M9" s="28">
        <v>0.25</v>
      </c>
    </row>
    <row r="10" spans="1:13" ht="16.5" thickBot="1" x14ac:dyDescent="0.3">
      <c r="A10" s="27" t="s">
        <v>57</v>
      </c>
      <c r="B10" s="28">
        <v>0</v>
      </c>
      <c r="C10" s="28">
        <v>0</v>
      </c>
      <c r="D10" s="28">
        <v>0</v>
      </c>
      <c r="E10" s="28">
        <f>SUM(E5:E9)</f>
        <v>30</v>
      </c>
      <c r="F10" s="28">
        <f>SUM(F5:F9)</f>
        <v>37.85</v>
      </c>
      <c r="G10" s="28">
        <f t="shared" ref="G10:M10" si="0">SUM(G5:G9)</f>
        <v>37.85</v>
      </c>
      <c r="H10" s="28">
        <f t="shared" si="0"/>
        <v>37.85</v>
      </c>
      <c r="I10" s="28">
        <f t="shared" si="0"/>
        <v>37.85</v>
      </c>
      <c r="J10" s="28">
        <f t="shared" si="0"/>
        <v>37.85</v>
      </c>
      <c r="K10" s="28">
        <f t="shared" si="0"/>
        <v>37.85</v>
      </c>
      <c r="L10" s="28">
        <f t="shared" si="0"/>
        <v>37.85</v>
      </c>
      <c r="M10" s="28">
        <f t="shared" si="0"/>
        <v>37.85</v>
      </c>
    </row>
    <row r="13" spans="1:13" ht="16.5" thickBot="1" x14ac:dyDescent="0.3">
      <c r="A13" s="195" t="s">
        <v>157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13" ht="16.5" thickBot="1" x14ac:dyDescent="0.3">
      <c r="A14" s="101" t="s">
        <v>346</v>
      </c>
      <c r="B14" s="102" t="s">
        <v>347</v>
      </c>
      <c r="C14" s="102" t="s">
        <v>348</v>
      </c>
      <c r="D14" s="102" t="s">
        <v>339</v>
      </c>
    </row>
    <row r="15" spans="1:13" ht="16.5" thickBot="1" x14ac:dyDescent="0.3">
      <c r="A15" s="96" t="s">
        <v>349</v>
      </c>
      <c r="B15" s="97" t="s">
        <v>350</v>
      </c>
      <c r="C15" s="97">
        <v>1</v>
      </c>
      <c r="D15" s="97" t="s">
        <v>351</v>
      </c>
    </row>
    <row r="16" spans="1:13" ht="32.25" thickBot="1" x14ac:dyDescent="0.3">
      <c r="A16" s="96" t="s">
        <v>352</v>
      </c>
      <c r="B16" s="97" t="s">
        <v>353</v>
      </c>
      <c r="C16" s="97" t="s">
        <v>18</v>
      </c>
      <c r="D16" s="97" t="s">
        <v>354</v>
      </c>
    </row>
    <row r="17" spans="1:13" ht="16.5" thickBot="1" x14ac:dyDescent="0.3">
      <c r="A17" s="96" t="s">
        <v>355</v>
      </c>
      <c r="B17" s="97">
        <v>25000</v>
      </c>
      <c r="C17" s="97">
        <v>2</v>
      </c>
      <c r="D17" s="97" t="s">
        <v>356</v>
      </c>
    </row>
    <row r="18" spans="1:13" ht="16.5" thickBot="1" x14ac:dyDescent="0.3">
      <c r="A18" s="96" t="s">
        <v>357</v>
      </c>
      <c r="B18" s="97">
        <v>13890</v>
      </c>
      <c r="C18" s="97">
        <v>1</v>
      </c>
      <c r="D18" s="97" t="s">
        <v>351</v>
      </c>
    </row>
    <row r="19" spans="1:13" ht="15.75" x14ac:dyDescent="0.25">
      <c r="A19" s="103" t="s">
        <v>358</v>
      </c>
      <c r="B19" s="104"/>
      <c r="C19" s="199"/>
      <c r="D19" s="202" t="s">
        <v>365</v>
      </c>
    </row>
    <row r="20" spans="1:13" ht="15.75" x14ac:dyDescent="0.25">
      <c r="A20" s="103" t="s">
        <v>359</v>
      </c>
      <c r="B20" s="107">
        <v>0.22</v>
      </c>
      <c r="C20" s="200"/>
      <c r="D20" s="203"/>
    </row>
    <row r="21" spans="1:13" ht="15.75" x14ac:dyDescent="0.25">
      <c r="A21" s="103" t="s">
        <v>360</v>
      </c>
      <c r="B21" s="104" t="s">
        <v>363</v>
      </c>
      <c r="C21" s="200"/>
      <c r="D21" s="203"/>
    </row>
    <row r="22" spans="1:13" ht="15.75" x14ac:dyDescent="0.25">
      <c r="A22" s="103" t="s">
        <v>361</v>
      </c>
      <c r="B22" s="104" t="s">
        <v>364</v>
      </c>
      <c r="C22" s="200"/>
      <c r="D22" s="203"/>
    </row>
    <row r="23" spans="1:13" ht="16.5" thickBot="1" x14ac:dyDescent="0.3">
      <c r="A23" s="96" t="s">
        <v>362</v>
      </c>
      <c r="B23" s="108"/>
      <c r="C23" s="201"/>
      <c r="D23" s="204"/>
    </row>
    <row r="24" spans="1:13" ht="19.5" thickBot="1" x14ac:dyDescent="0.3">
      <c r="A24" s="96" t="s">
        <v>366</v>
      </c>
      <c r="B24" s="97"/>
      <c r="C24" s="97"/>
      <c r="D24" s="109" t="s">
        <v>367</v>
      </c>
    </row>
    <row r="25" spans="1:13" ht="16.5" thickBot="1" x14ac:dyDescent="0.3">
      <c r="A25" s="105" t="s">
        <v>26</v>
      </c>
      <c r="B25" s="106"/>
      <c r="C25" s="106"/>
      <c r="D25" s="106" t="s">
        <v>368</v>
      </c>
    </row>
    <row r="26" spans="1:13" ht="16.5" thickBot="1" x14ac:dyDescent="0.3">
      <c r="A26" s="197" t="s">
        <v>391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spans="1:13" ht="16.5" thickBot="1" x14ac:dyDescent="0.3">
      <c r="A27" s="25" t="s">
        <v>40</v>
      </c>
      <c r="B27" s="29" t="s">
        <v>58</v>
      </c>
      <c r="C27" s="29" t="s">
        <v>42</v>
      </c>
      <c r="D27" s="29" t="s">
        <v>43</v>
      </c>
      <c r="E27" s="29" t="s">
        <v>44</v>
      </c>
      <c r="F27" s="29" t="s">
        <v>45</v>
      </c>
      <c r="G27" s="29" t="s">
        <v>59</v>
      </c>
      <c r="H27" s="29" t="s">
        <v>60</v>
      </c>
      <c r="I27" s="29" t="s">
        <v>61</v>
      </c>
      <c r="J27" s="29" t="s">
        <v>62</v>
      </c>
      <c r="K27" s="29" t="s">
        <v>63</v>
      </c>
      <c r="L27" s="29" t="s">
        <v>51</v>
      </c>
      <c r="M27" s="29" t="s">
        <v>64</v>
      </c>
    </row>
    <row r="28" spans="1:13" ht="16.5" thickBot="1" x14ac:dyDescent="0.3">
      <c r="A28" s="30" t="s">
        <v>65</v>
      </c>
      <c r="B28" s="28">
        <v>0</v>
      </c>
      <c r="C28" s="28">
        <v>0</v>
      </c>
      <c r="D28" s="28">
        <v>0</v>
      </c>
      <c r="E28" s="28">
        <v>0</v>
      </c>
      <c r="F28" s="28">
        <f>0.05*E40/1000</f>
        <v>8.7750000000000004</v>
      </c>
      <c r="G28" s="28">
        <f>0.05*E41/1000</f>
        <v>11.7</v>
      </c>
      <c r="H28" s="28">
        <f>0.05*E42/1000</f>
        <v>11.7</v>
      </c>
      <c r="I28" s="28">
        <f>0.2*E43/1000</f>
        <v>70.2</v>
      </c>
      <c r="J28" s="28">
        <f>0.2*E44/1000</f>
        <v>70.2</v>
      </c>
      <c r="K28" s="28">
        <f>0.2*E45/1000</f>
        <v>70.2</v>
      </c>
      <c r="L28" s="28">
        <f>0.2*E46/1000</f>
        <v>93.6</v>
      </c>
      <c r="M28" s="28">
        <f>0.2*E47/1000</f>
        <v>93.6</v>
      </c>
    </row>
    <row r="29" spans="1:13" ht="16.5" thickBot="1" x14ac:dyDescent="0.3">
      <c r="A29" s="30" t="s">
        <v>412</v>
      </c>
      <c r="B29" s="28">
        <f>0.2*F36/1000</f>
        <v>117</v>
      </c>
      <c r="C29" s="28">
        <f>0.2*F37/1000</f>
        <v>117</v>
      </c>
      <c r="D29" s="28">
        <f>0.2*F38/1000</f>
        <v>140.4</v>
      </c>
      <c r="E29" s="28">
        <v>140.4</v>
      </c>
      <c r="F29" s="28">
        <v>140.4</v>
      </c>
      <c r="G29" s="28">
        <v>163.80000000000001</v>
      </c>
      <c r="H29" s="28">
        <v>163.80000000000001</v>
      </c>
      <c r="I29" s="28">
        <v>163.80000000000001</v>
      </c>
      <c r="J29" s="28">
        <v>163.80000000000001</v>
      </c>
      <c r="K29" s="28">
        <v>163.80000000000001</v>
      </c>
      <c r="L29" s="28">
        <v>163.80000000000001</v>
      </c>
      <c r="M29" s="28">
        <v>163.80000000000001</v>
      </c>
    </row>
    <row r="30" spans="1:13" ht="16.5" thickBot="1" x14ac:dyDescent="0.3">
      <c r="A30" s="30" t="s">
        <v>413</v>
      </c>
      <c r="B30" s="28">
        <f>G36*0.2/1000</f>
        <v>163.80000000000001</v>
      </c>
      <c r="C30" s="28">
        <f>G37*0.2/1000</f>
        <v>163.80000000000001</v>
      </c>
      <c r="D30" s="28">
        <v>163.80000000000001</v>
      </c>
      <c r="E30" s="28">
        <v>163.80000000000001</v>
      </c>
      <c r="F30" s="28">
        <v>163.80000000000001</v>
      </c>
      <c r="G30" s="28">
        <v>163.80000000000001</v>
      </c>
      <c r="H30" s="28">
        <v>163.80000000000001</v>
      </c>
      <c r="I30" s="28">
        <v>163.80000000000001</v>
      </c>
      <c r="J30" s="28">
        <v>163.80000000000001</v>
      </c>
      <c r="K30" s="28">
        <v>163.80000000000001</v>
      </c>
      <c r="L30" s="28">
        <v>163.80000000000001</v>
      </c>
      <c r="M30" s="28">
        <v>163.80000000000001</v>
      </c>
    </row>
    <row r="33" spans="1:7" ht="16.5" thickBot="1" x14ac:dyDescent="0.3">
      <c r="A33" s="198" t="s">
        <v>392</v>
      </c>
      <c r="B33" s="198"/>
      <c r="C33" s="198"/>
      <c r="D33" s="198"/>
      <c r="E33" s="198"/>
      <c r="F33" s="198"/>
      <c r="G33" s="198"/>
    </row>
    <row r="34" spans="1:7" ht="16.5" thickBot="1" x14ac:dyDescent="0.3">
      <c r="A34" s="205" t="s">
        <v>66</v>
      </c>
      <c r="B34" s="207" t="s">
        <v>67</v>
      </c>
      <c r="C34" s="208"/>
      <c r="D34" s="209"/>
      <c r="E34" s="207" t="s">
        <v>68</v>
      </c>
      <c r="F34" s="208"/>
      <c r="G34" s="209"/>
    </row>
    <row r="35" spans="1:7" ht="15.75" thickBot="1" x14ac:dyDescent="0.3">
      <c r="A35" s="206"/>
      <c r="B35" s="113" t="s">
        <v>7</v>
      </c>
      <c r="C35" s="114" t="s">
        <v>372</v>
      </c>
      <c r="D35" s="114" t="s">
        <v>373</v>
      </c>
      <c r="E35" s="114" t="s">
        <v>7</v>
      </c>
      <c r="F35" s="114" t="s">
        <v>372</v>
      </c>
      <c r="G35" s="114" t="s">
        <v>373</v>
      </c>
    </row>
    <row r="36" spans="1:7" ht="16.5" thickBot="1" x14ac:dyDescent="0.3">
      <c r="A36" s="22" t="s">
        <v>69</v>
      </c>
      <c r="B36" s="115">
        <v>0</v>
      </c>
      <c r="C36" s="116">
        <v>50</v>
      </c>
      <c r="D36" s="116">
        <v>70</v>
      </c>
      <c r="E36" s="116">
        <v>0</v>
      </c>
      <c r="F36" s="116">
        <f>C36*26*450</f>
        <v>585000</v>
      </c>
      <c r="G36" s="116">
        <f>D36*26*450</f>
        <v>819000</v>
      </c>
    </row>
    <row r="37" spans="1:7" ht="16.5" thickBot="1" x14ac:dyDescent="0.3">
      <c r="A37" s="22" t="s">
        <v>70</v>
      </c>
      <c r="B37" s="115">
        <v>0</v>
      </c>
      <c r="C37" s="116">
        <v>50</v>
      </c>
      <c r="D37" s="116">
        <v>70</v>
      </c>
      <c r="E37" s="116">
        <v>0</v>
      </c>
      <c r="F37" s="116">
        <f t="shared" ref="F37:F47" si="1">C37*26*450</f>
        <v>585000</v>
      </c>
      <c r="G37" s="116">
        <f t="shared" ref="G37:G47" si="2">D37*26*450</f>
        <v>819000</v>
      </c>
    </row>
    <row r="38" spans="1:7" ht="16.5" thickBot="1" x14ac:dyDescent="0.3">
      <c r="A38" s="22" t="s">
        <v>71</v>
      </c>
      <c r="B38" s="115">
        <v>0</v>
      </c>
      <c r="C38" s="116">
        <v>60</v>
      </c>
      <c r="D38" s="116">
        <v>70</v>
      </c>
      <c r="E38" s="116">
        <v>0</v>
      </c>
      <c r="F38" s="116">
        <f t="shared" si="1"/>
        <v>702000</v>
      </c>
      <c r="G38" s="116">
        <f t="shared" si="2"/>
        <v>819000</v>
      </c>
    </row>
    <row r="39" spans="1:7" ht="16.5" thickBot="1" x14ac:dyDescent="0.3">
      <c r="A39" s="22" t="s">
        <v>72</v>
      </c>
      <c r="B39" s="115">
        <v>0</v>
      </c>
      <c r="C39" s="116">
        <v>60</v>
      </c>
      <c r="D39" s="116">
        <v>70</v>
      </c>
      <c r="E39" s="116">
        <v>0</v>
      </c>
      <c r="F39" s="116">
        <f t="shared" si="1"/>
        <v>702000</v>
      </c>
      <c r="G39" s="116">
        <f t="shared" si="2"/>
        <v>819000</v>
      </c>
    </row>
    <row r="40" spans="1:7" ht="16.5" thickBot="1" x14ac:dyDescent="0.3">
      <c r="A40" s="22" t="s">
        <v>45</v>
      </c>
      <c r="B40" s="115">
        <v>15</v>
      </c>
      <c r="C40" s="116">
        <v>60</v>
      </c>
      <c r="D40" s="116">
        <v>70</v>
      </c>
      <c r="E40" s="116">
        <f>B40*26*450</f>
        <v>175500</v>
      </c>
      <c r="F40" s="116">
        <f t="shared" si="1"/>
        <v>702000</v>
      </c>
      <c r="G40" s="116">
        <f t="shared" si="2"/>
        <v>819000</v>
      </c>
    </row>
    <row r="41" spans="1:7" ht="16.5" thickBot="1" x14ac:dyDescent="0.3">
      <c r="A41" s="22" t="s">
        <v>73</v>
      </c>
      <c r="B41" s="115">
        <v>20</v>
      </c>
      <c r="C41" s="116">
        <v>70</v>
      </c>
      <c r="D41" s="116">
        <v>70</v>
      </c>
      <c r="E41" s="116">
        <f t="shared" ref="E41:E47" si="3">B41*26*450</f>
        <v>234000</v>
      </c>
      <c r="F41" s="116">
        <f t="shared" si="1"/>
        <v>819000</v>
      </c>
      <c r="G41" s="116">
        <f t="shared" si="2"/>
        <v>819000</v>
      </c>
    </row>
    <row r="42" spans="1:7" ht="16.5" thickBot="1" x14ac:dyDescent="0.3">
      <c r="A42" s="22" t="s">
        <v>74</v>
      </c>
      <c r="B42" s="115">
        <v>20</v>
      </c>
      <c r="C42" s="116">
        <v>70</v>
      </c>
      <c r="D42" s="116">
        <v>70</v>
      </c>
      <c r="E42" s="116">
        <f t="shared" si="3"/>
        <v>234000</v>
      </c>
      <c r="F42" s="116">
        <f t="shared" si="1"/>
        <v>819000</v>
      </c>
      <c r="G42" s="116">
        <f t="shared" si="2"/>
        <v>819000</v>
      </c>
    </row>
    <row r="43" spans="1:7" ht="16.5" thickBot="1" x14ac:dyDescent="0.3">
      <c r="A43" s="22" t="s">
        <v>75</v>
      </c>
      <c r="B43" s="115">
        <v>30</v>
      </c>
      <c r="C43" s="116">
        <v>70</v>
      </c>
      <c r="D43" s="116">
        <v>70</v>
      </c>
      <c r="E43" s="116">
        <f t="shared" si="3"/>
        <v>351000</v>
      </c>
      <c r="F43" s="116">
        <f t="shared" si="1"/>
        <v>819000</v>
      </c>
      <c r="G43" s="116">
        <f t="shared" si="2"/>
        <v>819000</v>
      </c>
    </row>
    <row r="44" spans="1:7" ht="16.5" thickBot="1" x14ac:dyDescent="0.3">
      <c r="A44" s="22" t="s">
        <v>76</v>
      </c>
      <c r="B44" s="115">
        <v>30</v>
      </c>
      <c r="C44" s="116">
        <v>70</v>
      </c>
      <c r="D44" s="116">
        <v>70</v>
      </c>
      <c r="E44" s="116">
        <f t="shared" si="3"/>
        <v>351000</v>
      </c>
      <c r="F44" s="116">
        <f t="shared" si="1"/>
        <v>819000</v>
      </c>
      <c r="G44" s="116">
        <f t="shared" si="2"/>
        <v>819000</v>
      </c>
    </row>
    <row r="45" spans="1:7" ht="16.5" thickBot="1" x14ac:dyDescent="0.3">
      <c r="A45" s="22" t="s">
        <v>77</v>
      </c>
      <c r="B45" s="115">
        <v>30</v>
      </c>
      <c r="C45" s="116">
        <v>70</v>
      </c>
      <c r="D45" s="116">
        <v>70</v>
      </c>
      <c r="E45" s="116">
        <f t="shared" si="3"/>
        <v>351000</v>
      </c>
      <c r="F45" s="116">
        <f t="shared" si="1"/>
        <v>819000</v>
      </c>
      <c r="G45" s="116">
        <f t="shared" si="2"/>
        <v>819000</v>
      </c>
    </row>
    <row r="46" spans="1:7" ht="16.5" thickBot="1" x14ac:dyDescent="0.3">
      <c r="A46" s="22" t="s">
        <v>78</v>
      </c>
      <c r="B46" s="115">
        <v>40</v>
      </c>
      <c r="C46" s="116">
        <v>70</v>
      </c>
      <c r="D46" s="116">
        <v>70</v>
      </c>
      <c r="E46" s="116">
        <f t="shared" si="3"/>
        <v>468000</v>
      </c>
      <c r="F46" s="116">
        <f t="shared" si="1"/>
        <v>819000</v>
      </c>
      <c r="G46" s="116">
        <f t="shared" si="2"/>
        <v>819000</v>
      </c>
    </row>
    <row r="47" spans="1:7" ht="16.5" thickBot="1" x14ac:dyDescent="0.3">
      <c r="A47" s="22" t="s">
        <v>79</v>
      </c>
      <c r="B47" s="115">
        <v>40</v>
      </c>
      <c r="C47" s="116">
        <v>70</v>
      </c>
      <c r="D47" s="116">
        <v>70</v>
      </c>
      <c r="E47" s="116">
        <f t="shared" si="3"/>
        <v>468000</v>
      </c>
      <c r="F47" s="116">
        <f t="shared" si="1"/>
        <v>819000</v>
      </c>
      <c r="G47" s="116">
        <f t="shared" si="2"/>
        <v>819000</v>
      </c>
    </row>
    <row r="48" spans="1:7" ht="16.5" thickBot="1" x14ac:dyDescent="0.3">
      <c r="A48" s="22" t="s">
        <v>26</v>
      </c>
      <c r="B48" s="115" t="s">
        <v>18</v>
      </c>
      <c r="C48" s="116" t="s">
        <v>18</v>
      </c>
      <c r="D48" s="116" t="s">
        <v>18</v>
      </c>
      <c r="E48" s="116">
        <f>SUM(E36:E47)</f>
        <v>2632500</v>
      </c>
      <c r="F48" s="116">
        <f t="shared" ref="F48:G48" si="4">SUM(F36:F47)</f>
        <v>9009000</v>
      </c>
      <c r="G48" s="116">
        <f t="shared" si="4"/>
        <v>9828000</v>
      </c>
    </row>
  </sheetData>
  <mergeCells count="10">
    <mergeCell ref="A34:A35"/>
    <mergeCell ref="B34:D34"/>
    <mergeCell ref="E34:G34"/>
    <mergeCell ref="A33:G33"/>
    <mergeCell ref="A1:L1"/>
    <mergeCell ref="A3:M3"/>
    <mergeCell ref="A13:M13"/>
    <mergeCell ref="A26:M26"/>
    <mergeCell ref="C19:C23"/>
    <mergeCell ref="D19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15" sqref="D15"/>
    </sheetView>
  </sheetViews>
  <sheetFormatPr defaultRowHeight="15" x14ac:dyDescent="0.25"/>
  <cols>
    <col min="1" max="1" width="39.5703125" customWidth="1"/>
    <col min="2" max="2" width="30.5703125" customWidth="1"/>
    <col min="3" max="3" width="24.28515625" customWidth="1"/>
    <col min="4" max="4" width="22.28515625" customWidth="1"/>
    <col min="5" max="5" width="20.140625" customWidth="1"/>
    <col min="6" max="6" width="23.42578125" customWidth="1"/>
    <col min="7" max="7" width="8.7109375" customWidth="1"/>
    <col min="8" max="8" width="0.140625" customWidth="1"/>
  </cols>
  <sheetData>
    <row r="1" spans="1:13" ht="15.75" x14ac:dyDescent="0.25">
      <c r="A1" s="195" t="s">
        <v>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5.6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6.5" thickBot="1" x14ac:dyDescent="0.3">
      <c r="A3" s="198" t="s">
        <v>397</v>
      </c>
      <c r="B3" s="198"/>
      <c r="C3" s="198"/>
      <c r="D3" s="198"/>
      <c r="E3" s="198"/>
      <c r="F3" s="198"/>
      <c r="G3" s="198"/>
      <c r="H3" s="198"/>
      <c r="I3" s="32"/>
      <c r="J3" s="32"/>
      <c r="K3" s="32"/>
      <c r="L3" s="32"/>
      <c r="M3" s="32"/>
    </row>
    <row r="4" spans="1:13" ht="32.25" thickBot="1" x14ac:dyDescent="0.3">
      <c r="A4" s="14" t="s">
        <v>88</v>
      </c>
      <c r="B4" s="15" t="s">
        <v>89</v>
      </c>
      <c r="C4" s="15" t="s">
        <v>90</v>
      </c>
      <c r="D4" s="15" t="s">
        <v>91</v>
      </c>
      <c r="E4" s="15" t="s">
        <v>92</v>
      </c>
      <c r="F4" s="15" t="s">
        <v>89</v>
      </c>
      <c r="G4" s="15" t="s">
        <v>406</v>
      </c>
      <c r="H4" s="15" t="s">
        <v>93</v>
      </c>
      <c r="I4" s="32"/>
      <c r="J4" s="32"/>
      <c r="K4" s="32"/>
      <c r="L4" s="32"/>
      <c r="M4" s="32"/>
    </row>
    <row r="5" spans="1:13" ht="16.5" thickBot="1" x14ac:dyDescent="0.3">
      <c r="A5" s="87" t="s">
        <v>394</v>
      </c>
      <c r="B5" s="128">
        <v>400</v>
      </c>
      <c r="C5" s="33">
        <v>400</v>
      </c>
      <c r="D5" s="18"/>
      <c r="E5" s="33"/>
      <c r="F5" s="128">
        <v>400</v>
      </c>
      <c r="G5" s="18"/>
      <c r="H5" s="18"/>
      <c r="I5" s="32"/>
      <c r="J5" s="32"/>
      <c r="K5" s="32"/>
      <c r="L5" s="32"/>
      <c r="M5" s="32"/>
    </row>
    <row r="6" spans="1:13" ht="16.149999999999999" thickBot="1" x14ac:dyDescent="0.35">
      <c r="A6" s="87" t="s">
        <v>407</v>
      </c>
      <c r="B6" s="128">
        <v>400</v>
      </c>
      <c r="C6" s="33">
        <v>500</v>
      </c>
      <c r="D6" s="128">
        <v>400</v>
      </c>
      <c r="E6" s="33">
        <v>400</v>
      </c>
      <c r="F6" s="128">
        <v>800</v>
      </c>
      <c r="G6" s="128">
        <v>400</v>
      </c>
      <c r="H6" s="18"/>
      <c r="I6" s="32"/>
      <c r="J6" s="32"/>
      <c r="K6" s="32"/>
      <c r="L6" s="32"/>
      <c r="M6" s="32"/>
    </row>
    <row r="7" spans="1:13" ht="16.5" thickBot="1" x14ac:dyDescent="0.3">
      <c r="A7" s="17" t="s">
        <v>94</v>
      </c>
      <c r="B7" s="33">
        <v>500</v>
      </c>
      <c r="C7" s="128">
        <v>400</v>
      </c>
      <c r="D7" s="33">
        <v>800</v>
      </c>
      <c r="E7" s="128">
        <v>500</v>
      </c>
      <c r="F7" s="33">
        <v>400</v>
      </c>
      <c r="G7" s="128">
        <v>500</v>
      </c>
      <c r="H7" s="18"/>
      <c r="I7" s="32"/>
      <c r="J7" s="32"/>
      <c r="K7" s="32"/>
      <c r="L7" s="32"/>
      <c r="M7" s="32"/>
    </row>
    <row r="8" spans="1:13" ht="16.5" thickBot="1" x14ac:dyDescent="0.3">
      <c r="A8" s="17" t="s">
        <v>95</v>
      </c>
      <c r="B8" s="33">
        <v>500</v>
      </c>
      <c r="C8" s="128">
        <v>500</v>
      </c>
      <c r="D8" s="33">
        <v>400</v>
      </c>
      <c r="E8" s="18"/>
      <c r="F8" s="130"/>
      <c r="G8" s="128">
        <v>400</v>
      </c>
      <c r="H8" s="18"/>
      <c r="I8" s="32"/>
      <c r="J8" s="32"/>
      <c r="K8" s="32"/>
      <c r="L8" s="32"/>
      <c r="M8" s="32"/>
    </row>
    <row r="9" spans="1:13" ht="16.5" thickBot="1" x14ac:dyDescent="0.3">
      <c r="A9" s="87" t="s">
        <v>395</v>
      </c>
      <c r="B9" s="33">
        <v>800</v>
      </c>
      <c r="C9" s="18"/>
      <c r="D9" s="123"/>
      <c r="E9" s="128">
        <v>400</v>
      </c>
      <c r="F9" s="33">
        <v>500</v>
      </c>
      <c r="G9" s="18"/>
      <c r="H9" s="18"/>
      <c r="I9" s="32"/>
      <c r="J9" s="32"/>
      <c r="K9" s="32"/>
      <c r="L9" s="32"/>
      <c r="M9" s="32"/>
    </row>
    <row r="10" spans="1:13" ht="15.75" x14ac:dyDescent="0.25">
      <c r="A10" s="119" t="s">
        <v>396</v>
      </c>
      <c r="B10" s="120">
        <v>400</v>
      </c>
      <c r="C10" s="129">
        <v>500</v>
      </c>
      <c r="D10" s="131">
        <v>400</v>
      </c>
      <c r="E10" s="129">
        <v>500</v>
      </c>
      <c r="F10" s="123"/>
      <c r="G10" s="119"/>
      <c r="H10" s="119"/>
      <c r="I10" s="32"/>
      <c r="J10" s="32"/>
      <c r="K10" s="32"/>
      <c r="L10" s="32"/>
      <c r="M10" s="32"/>
    </row>
    <row r="11" spans="1:13" ht="16.5" thickBot="1" x14ac:dyDescent="0.3">
      <c r="A11" s="20" t="s">
        <v>405</v>
      </c>
      <c r="B11" s="121"/>
      <c r="C11" s="20"/>
      <c r="D11" s="20"/>
      <c r="E11" s="20"/>
      <c r="F11" s="20"/>
      <c r="G11" s="122"/>
      <c r="H11" s="122"/>
      <c r="I11" s="32"/>
      <c r="J11" s="32"/>
      <c r="K11" s="32"/>
      <c r="L11" s="32"/>
      <c r="M11" s="32"/>
    </row>
    <row r="12" spans="1:13" ht="16.5" thickBot="1" x14ac:dyDescent="0.3">
      <c r="A12" s="124" t="s">
        <v>398</v>
      </c>
      <c r="B12" s="125" t="s">
        <v>399</v>
      </c>
      <c r="C12" s="125" t="s">
        <v>90</v>
      </c>
      <c r="D12" s="125" t="s">
        <v>91</v>
      </c>
      <c r="E12" s="125" t="s">
        <v>92</v>
      </c>
      <c r="F12" s="125" t="s">
        <v>400</v>
      </c>
      <c r="G12" s="125" t="s">
        <v>401</v>
      </c>
      <c r="H12" s="32"/>
      <c r="I12" s="32"/>
      <c r="J12" s="32"/>
      <c r="K12" s="32"/>
      <c r="L12" s="32"/>
      <c r="M12" s="32"/>
    </row>
    <row r="13" spans="1:13" ht="16.5" thickBot="1" x14ac:dyDescent="0.3">
      <c r="A13" s="126" t="s">
        <v>402</v>
      </c>
      <c r="B13" s="132">
        <v>500</v>
      </c>
      <c r="C13" s="132">
        <v>400</v>
      </c>
      <c r="D13" s="133"/>
      <c r="E13" s="132">
        <v>400</v>
      </c>
      <c r="F13" s="127"/>
      <c r="G13" s="132">
        <v>500</v>
      </c>
    </row>
    <row r="14" spans="1:13" ht="16.5" thickBot="1" x14ac:dyDescent="0.3">
      <c r="A14" s="126" t="s">
        <v>403</v>
      </c>
      <c r="B14" s="132">
        <v>400</v>
      </c>
      <c r="C14" s="132">
        <v>800</v>
      </c>
      <c r="D14" s="132">
        <v>500</v>
      </c>
      <c r="E14" s="132">
        <v>500</v>
      </c>
      <c r="F14" s="132">
        <v>400</v>
      </c>
      <c r="G14" s="132">
        <v>400</v>
      </c>
    </row>
    <row r="15" spans="1:13" ht="16.5" thickBot="1" x14ac:dyDescent="0.3">
      <c r="A15" s="126" t="s">
        <v>95</v>
      </c>
      <c r="B15" s="132">
        <v>800</v>
      </c>
      <c r="C15" s="132">
        <v>400</v>
      </c>
      <c r="D15" s="133"/>
      <c r="E15" s="132">
        <v>400</v>
      </c>
      <c r="F15" s="127"/>
      <c r="G15" s="127"/>
    </row>
    <row r="16" spans="1:13" ht="16.5" thickBot="1" x14ac:dyDescent="0.3">
      <c r="A16" s="126" t="s">
        <v>96</v>
      </c>
      <c r="B16" s="127"/>
      <c r="C16" s="132">
        <v>400</v>
      </c>
      <c r="D16" s="132">
        <v>400</v>
      </c>
      <c r="E16" s="127"/>
      <c r="F16" s="132">
        <v>400</v>
      </c>
      <c r="G16" s="132">
        <v>500</v>
      </c>
    </row>
    <row r="17" spans="1:7" ht="16.5" thickBot="1" x14ac:dyDescent="0.3">
      <c r="A17" s="126" t="s">
        <v>97</v>
      </c>
      <c r="B17" s="132">
        <v>400</v>
      </c>
      <c r="C17" s="132">
        <v>500</v>
      </c>
      <c r="D17" s="132">
        <v>400</v>
      </c>
      <c r="E17" s="132">
        <v>500</v>
      </c>
      <c r="F17" s="127"/>
      <c r="G17" s="132">
        <v>400</v>
      </c>
    </row>
    <row r="18" spans="1:7" ht="16.5" thickBot="1" x14ac:dyDescent="0.3">
      <c r="A18" s="126" t="s">
        <v>404</v>
      </c>
      <c r="B18" s="132">
        <v>500</v>
      </c>
      <c r="C18" s="127"/>
      <c r="D18" s="132">
        <v>500</v>
      </c>
      <c r="E18" s="127"/>
      <c r="F18" s="132">
        <v>400</v>
      </c>
      <c r="G18" s="132">
        <v>800</v>
      </c>
    </row>
    <row r="24" spans="1:7" ht="16.5" thickBot="1" x14ac:dyDescent="0.3">
      <c r="A24" s="21" t="s">
        <v>393</v>
      </c>
    </row>
    <row r="25" spans="1:7" ht="32.25" thickBot="1" x14ac:dyDescent="0.3">
      <c r="A25" s="31" t="s">
        <v>81</v>
      </c>
      <c r="B25" s="16" t="s">
        <v>82</v>
      </c>
      <c r="C25" s="16" t="s">
        <v>83</v>
      </c>
      <c r="D25" s="16" t="s">
        <v>84</v>
      </c>
      <c r="E25" s="16" t="s">
        <v>85</v>
      </c>
      <c r="F25" s="16" t="s">
        <v>86</v>
      </c>
    </row>
    <row r="26" spans="1:7" ht="16.5" thickBot="1" x14ac:dyDescent="0.3">
      <c r="A26" s="117" t="s">
        <v>374</v>
      </c>
      <c r="B26" s="16" t="s">
        <v>375</v>
      </c>
      <c r="C26" s="16" t="s">
        <v>376</v>
      </c>
      <c r="D26" s="16">
        <v>180</v>
      </c>
      <c r="E26" s="16">
        <v>500</v>
      </c>
      <c r="F26" s="16" t="s">
        <v>377</v>
      </c>
    </row>
    <row r="27" spans="1:7" ht="16.5" thickBot="1" x14ac:dyDescent="0.3">
      <c r="A27" s="118" t="s">
        <v>378</v>
      </c>
      <c r="B27" s="19" t="s">
        <v>379</v>
      </c>
      <c r="C27" s="19" t="s">
        <v>376</v>
      </c>
      <c r="D27" s="19">
        <v>200</v>
      </c>
      <c r="E27" s="19">
        <v>600</v>
      </c>
      <c r="F27" s="19" t="s">
        <v>380</v>
      </c>
    </row>
    <row r="28" spans="1:7" ht="16.5" thickBot="1" x14ac:dyDescent="0.3">
      <c r="A28" s="118" t="s">
        <v>381</v>
      </c>
      <c r="B28" s="19" t="s">
        <v>382</v>
      </c>
      <c r="C28" s="19" t="s">
        <v>376</v>
      </c>
      <c r="D28" s="19">
        <v>280</v>
      </c>
      <c r="E28" s="19">
        <v>800</v>
      </c>
      <c r="F28" s="19" t="s">
        <v>383</v>
      </c>
    </row>
    <row r="29" spans="1:7" ht="16.5" thickBot="1" x14ac:dyDescent="0.3">
      <c r="A29" s="118" t="s">
        <v>384</v>
      </c>
      <c r="B29" s="19" t="s">
        <v>87</v>
      </c>
      <c r="C29" s="19" t="s">
        <v>376</v>
      </c>
      <c r="D29" s="19">
        <v>320</v>
      </c>
      <c r="E29" s="19">
        <v>900</v>
      </c>
      <c r="F29" s="19" t="s">
        <v>385</v>
      </c>
    </row>
  </sheetData>
  <mergeCells count="2">
    <mergeCell ref="A1:M1"/>
    <mergeCell ref="A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activeCell="G34" sqref="G34"/>
    </sheetView>
  </sheetViews>
  <sheetFormatPr defaultRowHeight="15" x14ac:dyDescent="0.25"/>
  <sheetData>
    <row r="1" spans="1:14" ht="15.75" x14ac:dyDescent="0.25">
      <c r="A1" s="195" t="s">
        <v>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activeCell="F26" sqref="F26"/>
    </sheetView>
  </sheetViews>
  <sheetFormatPr defaultRowHeight="15" x14ac:dyDescent="0.25"/>
  <sheetData>
    <row r="1" spans="1:15" ht="15.75" x14ac:dyDescent="0.25">
      <c r="A1" s="195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</sheetData>
  <mergeCells count="1">
    <mergeCell ref="A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43" workbookViewId="0">
      <selection activeCell="A4" sqref="A4:K18"/>
    </sheetView>
  </sheetViews>
  <sheetFormatPr defaultRowHeight="15" x14ac:dyDescent="0.25"/>
  <cols>
    <col min="1" max="1" width="55.140625" customWidth="1"/>
    <col min="2" max="3" width="10.7109375" bestFit="1" customWidth="1"/>
    <col min="4" max="13" width="11.85546875" bestFit="1" customWidth="1"/>
  </cols>
  <sheetData>
    <row r="1" spans="1:15" ht="15.75" x14ac:dyDescent="0.25">
      <c r="A1" s="195" t="s">
        <v>100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3" spans="1:15" ht="16.5" thickBot="1" x14ac:dyDescent="0.3">
      <c r="A3" s="198" t="s">
        <v>409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5" ht="16.5" thickBot="1" x14ac:dyDescent="0.3">
      <c r="A4" s="14" t="s">
        <v>101</v>
      </c>
      <c r="B4" s="16" t="s">
        <v>43</v>
      </c>
      <c r="C4" s="16" t="s">
        <v>44</v>
      </c>
      <c r="D4" s="16" t="s">
        <v>45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51</v>
      </c>
      <c r="K4" s="16" t="s">
        <v>64</v>
      </c>
    </row>
    <row r="5" spans="1:15" ht="16.5" thickBot="1" x14ac:dyDescent="0.3">
      <c r="A5" s="34" t="s">
        <v>102</v>
      </c>
      <c r="B5" s="35"/>
      <c r="C5" s="35">
        <f>C6+C7</f>
        <v>690000</v>
      </c>
      <c r="D5" s="35">
        <f>D6+D7+D8</f>
        <v>175500</v>
      </c>
      <c r="E5" s="35">
        <f t="shared" ref="E5:K5" si="0">E6+E7+E8</f>
        <v>234000</v>
      </c>
      <c r="F5" s="35">
        <f t="shared" si="0"/>
        <v>234000</v>
      </c>
      <c r="G5" s="35">
        <f t="shared" si="0"/>
        <v>351000</v>
      </c>
      <c r="H5" s="35">
        <f t="shared" si="0"/>
        <v>351000</v>
      </c>
      <c r="I5" s="35">
        <f t="shared" si="0"/>
        <v>351000</v>
      </c>
      <c r="J5" s="35">
        <f t="shared" si="0"/>
        <v>468000</v>
      </c>
      <c r="K5" s="35">
        <f t="shared" si="0"/>
        <v>468000</v>
      </c>
    </row>
    <row r="6" spans="1:15" ht="16.5" thickBot="1" x14ac:dyDescent="0.3">
      <c r="A6" s="17" t="s">
        <v>103</v>
      </c>
      <c r="B6" s="19"/>
      <c r="C6" s="19">
        <f>'Лист 1 - Данные для расчета'!B6</f>
        <v>138000</v>
      </c>
      <c r="D6" s="19"/>
      <c r="E6" s="19"/>
      <c r="F6" s="19"/>
      <c r="G6" s="19"/>
      <c r="H6" s="19"/>
      <c r="I6" s="19"/>
      <c r="J6" s="19"/>
      <c r="K6" s="19"/>
    </row>
    <row r="7" spans="1:15" ht="16.5" thickBot="1" x14ac:dyDescent="0.3">
      <c r="A7" s="17" t="s">
        <v>104</v>
      </c>
      <c r="B7" s="19"/>
      <c r="C7" s="19">
        <f>'Лист 1 - Данные для расчета'!B5</f>
        <v>552000</v>
      </c>
      <c r="D7" s="19"/>
      <c r="E7" s="19"/>
      <c r="F7" s="19"/>
      <c r="G7" s="19"/>
      <c r="H7" s="19"/>
      <c r="I7" s="19"/>
      <c r="J7" s="19"/>
      <c r="K7" s="19"/>
    </row>
    <row r="8" spans="1:15" ht="16.5" thickBot="1" x14ac:dyDescent="0.3">
      <c r="A8" s="17" t="s">
        <v>105</v>
      </c>
      <c r="B8" s="19"/>
      <c r="C8" s="19"/>
      <c r="D8" s="19">
        <f>'Лист3 Доходы и расходы'!E40</f>
        <v>175500</v>
      </c>
      <c r="E8" s="19">
        <f>'Лист3 Доходы и расходы'!E41</f>
        <v>234000</v>
      </c>
      <c r="F8" s="19">
        <f>'Лист3 Доходы и расходы'!E42</f>
        <v>234000</v>
      </c>
      <c r="G8" s="19">
        <f>'Лист3 Доходы и расходы'!E43</f>
        <v>351000</v>
      </c>
      <c r="H8" s="19">
        <f>'Лист3 Доходы и расходы'!E44</f>
        <v>351000</v>
      </c>
      <c r="I8" s="19">
        <f>'Лист3 Доходы и расходы'!E45</f>
        <v>351000</v>
      </c>
      <c r="J8" s="19">
        <f>'Лист3 Доходы и расходы'!E46</f>
        <v>468000</v>
      </c>
      <c r="K8" s="19">
        <f>'Лист3 Доходы и расходы'!E47</f>
        <v>468000</v>
      </c>
    </row>
    <row r="9" spans="1:15" ht="16.5" thickBot="1" x14ac:dyDescent="0.3">
      <c r="A9" s="34" t="s">
        <v>106</v>
      </c>
      <c r="B9" s="35"/>
      <c r="C9" s="35">
        <f>C10+C11+C12+C13+C14+C15+C16+C17</f>
        <v>621173.5</v>
      </c>
      <c r="D9" s="35">
        <f>D10+D11+D12+D13+D14+D15+D16+D17</f>
        <v>171416.5</v>
      </c>
      <c r="E9" s="35">
        <f t="shared" ref="E9:K9" si="1">E10+E11+E12+E13+E14+E15+E16+E17</f>
        <v>177851.5</v>
      </c>
      <c r="F9" s="35">
        <f t="shared" si="1"/>
        <v>177851.5</v>
      </c>
      <c r="G9" s="35">
        <f t="shared" si="1"/>
        <v>243371.5</v>
      </c>
      <c r="H9" s="35">
        <f t="shared" si="1"/>
        <v>243371.5</v>
      </c>
      <c r="I9" s="35">
        <f t="shared" si="1"/>
        <v>243371.5</v>
      </c>
      <c r="J9" s="35">
        <f t="shared" si="1"/>
        <v>273791.5</v>
      </c>
      <c r="K9" s="35">
        <f t="shared" si="1"/>
        <v>273791.5</v>
      </c>
    </row>
    <row r="10" spans="1:15" ht="16.5" thickBot="1" x14ac:dyDescent="0.3">
      <c r="A10" s="17" t="s">
        <v>107</v>
      </c>
      <c r="B10" s="19"/>
      <c r="C10" s="19">
        <v>339700</v>
      </c>
      <c r="D10" s="19"/>
      <c r="E10" s="19"/>
      <c r="F10" s="19"/>
      <c r="G10" s="19"/>
      <c r="H10" s="19"/>
      <c r="I10" s="19"/>
      <c r="J10" s="19"/>
      <c r="K10" s="19"/>
    </row>
    <row r="11" spans="1:15" ht="16.5" thickBot="1" x14ac:dyDescent="0.3">
      <c r="A11" s="17" t="s">
        <v>108</v>
      </c>
      <c r="B11" s="19"/>
      <c r="C11" s="135">
        <v>210000</v>
      </c>
      <c r="D11" s="135"/>
      <c r="E11" s="135"/>
      <c r="F11" s="135"/>
      <c r="G11" s="135"/>
      <c r="H11" s="135"/>
      <c r="I11" s="135"/>
      <c r="J11" s="135"/>
      <c r="K11" s="135"/>
    </row>
    <row r="12" spans="1:15" ht="16.5" thickBot="1" x14ac:dyDescent="0.3">
      <c r="A12" s="17" t="s">
        <v>109</v>
      </c>
      <c r="B12" s="134"/>
      <c r="C12" s="136">
        <v>35811.800000000003</v>
      </c>
      <c r="D12" s="136">
        <v>87546.8</v>
      </c>
      <c r="E12" s="136">
        <v>87546.8</v>
      </c>
      <c r="F12" s="136">
        <v>87546.8</v>
      </c>
      <c r="G12" s="136">
        <v>87546.8</v>
      </c>
      <c r="H12" s="136">
        <v>87546.8</v>
      </c>
      <c r="I12" s="136">
        <v>87546.8</v>
      </c>
      <c r="J12" s="136">
        <v>87546.8</v>
      </c>
      <c r="K12" s="136">
        <v>87546.8</v>
      </c>
    </row>
    <row r="13" spans="1:15" ht="16.5" thickBot="1" x14ac:dyDescent="0.3">
      <c r="A13" s="17" t="s">
        <v>110</v>
      </c>
      <c r="B13" s="19"/>
      <c r="C13" s="19">
        <f>'Лист3 Доходы и расходы'!E10*1000</f>
        <v>30000</v>
      </c>
      <c r="D13" s="19">
        <f>'Лист3 Доходы и расходы'!F10*1000</f>
        <v>37850</v>
      </c>
      <c r="E13" s="19">
        <f>'Лист3 Доходы и расходы'!G10*1000</f>
        <v>37850</v>
      </c>
      <c r="F13" s="19">
        <f>'Лист3 Доходы и расходы'!H10*1000</f>
        <v>37850</v>
      </c>
      <c r="G13" s="19">
        <f>'Лист3 Доходы и расходы'!I10*1000</f>
        <v>37850</v>
      </c>
      <c r="H13" s="19">
        <f>'Лист3 Доходы и расходы'!J10*1000</f>
        <v>37850</v>
      </c>
      <c r="I13" s="19">
        <f>'Лист3 Доходы и расходы'!K10*1000</f>
        <v>37850</v>
      </c>
      <c r="J13" s="19">
        <f>'Лист3 Доходы и расходы'!L10*1000</f>
        <v>37850</v>
      </c>
      <c r="K13" s="19">
        <f>'Лист3 Доходы и расходы'!M10*1000</f>
        <v>37850</v>
      </c>
    </row>
    <row r="14" spans="1:15" ht="16.5" thickBot="1" x14ac:dyDescent="0.3">
      <c r="A14" s="17" t="s">
        <v>111</v>
      </c>
      <c r="B14" s="19"/>
      <c r="C14" s="19">
        <v>0</v>
      </c>
      <c r="D14" s="19">
        <f>'Лист3 Доходы и расходы'!F28*1000</f>
        <v>8775</v>
      </c>
      <c r="E14" s="19">
        <f>'Лист3 Доходы и расходы'!G28*1000</f>
        <v>11700</v>
      </c>
      <c r="F14" s="19">
        <f>'Лист3 Доходы и расходы'!H28*1000</f>
        <v>11700</v>
      </c>
      <c r="G14" s="19">
        <f>'Лист3 Доходы и расходы'!I28*1000</f>
        <v>70200</v>
      </c>
      <c r="H14" s="19">
        <f>'Лист3 Доходы и расходы'!J28*1000</f>
        <v>70200</v>
      </c>
      <c r="I14" s="19">
        <f>'Лист3 Доходы и расходы'!K28*1000</f>
        <v>70200</v>
      </c>
      <c r="J14" s="19">
        <f>'Лист3 Доходы и расходы'!L28*1000</f>
        <v>93600</v>
      </c>
      <c r="K14" s="19">
        <f>'Лист3 Доходы и расходы'!M28*1000</f>
        <v>93600</v>
      </c>
    </row>
    <row r="15" spans="1:15" ht="16.5" thickBot="1" x14ac:dyDescent="0.3">
      <c r="A15" s="17" t="s">
        <v>408</v>
      </c>
      <c r="B15" s="19"/>
      <c r="C15" s="19">
        <v>5661.7</v>
      </c>
      <c r="D15" s="19">
        <v>5661.7</v>
      </c>
      <c r="E15" s="19">
        <v>5661.7</v>
      </c>
      <c r="F15" s="19">
        <v>5661.7</v>
      </c>
      <c r="G15" s="19">
        <v>5661.7</v>
      </c>
      <c r="H15" s="19">
        <v>5661.7</v>
      </c>
      <c r="I15" s="19">
        <v>5661.7</v>
      </c>
      <c r="J15" s="19">
        <v>5661.7</v>
      </c>
      <c r="K15" s="19">
        <v>5661.7</v>
      </c>
    </row>
    <row r="16" spans="1:15" ht="16.5" thickBot="1" x14ac:dyDescent="0.3">
      <c r="A16" s="17" t="s">
        <v>117</v>
      </c>
      <c r="B16" s="19"/>
      <c r="C16" s="19">
        <v>0</v>
      </c>
      <c r="D16" s="19">
        <f>D8*6/100</f>
        <v>10530</v>
      </c>
      <c r="E16" s="19">
        <f>E8*6/100</f>
        <v>14040</v>
      </c>
      <c r="F16" s="19">
        <f t="shared" ref="F16:K16" si="2">F8*6/100</f>
        <v>14040</v>
      </c>
      <c r="G16" s="19">
        <f t="shared" si="2"/>
        <v>21060</v>
      </c>
      <c r="H16" s="19">
        <f t="shared" si="2"/>
        <v>21060</v>
      </c>
      <c r="I16" s="19">
        <f t="shared" si="2"/>
        <v>21060</v>
      </c>
      <c r="J16" s="19">
        <f t="shared" si="2"/>
        <v>28080</v>
      </c>
      <c r="K16" s="19">
        <f t="shared" si="2"/>
        <v>28080</v>
      </c>
    </row>
    <row r="17" spans="1:13" ht="16.5" thickBot="1" x14ac:dyDescent="0.3">
      <c r="A17" s="17" t="s">
        <v>112</v>
      </c>
      <c r="B17" s="19"/>
      <c r="C17" s="36">
        <v>0</v>
      </c>
      <c r="D17" s="36">
        <v>21053</v>
      </c>
      <c r="E17" s="36">
        <v>21053</v>
      </c>
      <c r="F17" s="36">
        <v>21053</v>
      </c>
      <c r="G17" s="36">
        <v>21053</v>
      </c>
      <c r="H17" s="36">
        <v>21053</v>
      </c>
      <c r="I17" s="36">
        <v>21053</v>
      </c>
      <c r="J17" s="36">
        <v>21053</v>
      </c>
      <c r="K17" s="36">
        <v>21053</v>
      </c>
    </row>
    <row r="18" spans="1:13" ht="16.5" thickBot="1" x14ac:dyDescent="0.3">
      <c r="A18" s="34" t="s">
        <v>113</v>
      </c>
      <c r="B18" s="35"/>
      <c r="C18" s="35">
        <f>C5-C9</f>
        <v>68826.5</v>
      </c>
      <c r="D18" s="35">
        <f>C18+D5-D9</f>
        <v>72910</v>
      </c>
      <c r="E18" s="35">
        <f t="shared" ref="E18:K18" si="3">D18+E5-E9</f>
        <v>129058.5</v>
      </c>
      <c r="F18" s="35">
        <f t="shared" si="3"/>
        <v>185207</v>
      </c>
      <c r="G18" s="35">
        <f t="shared" si="3"/>
        <v>292835.5</v>
      </c>
      <c r="H18" s="35">
        <f t="shared" si="3"/>
        <v>400464</v>
      </c>
      <c r="I18" s="35">
        <f t="shared" si="3"/>
        <v>508092.5</v>
      </c>
      <c r="J18" s="35">
        <f t="shared" si="3"/>
        <v>702301</v>
      </c>
      <c r="K18" s="137">
        <f t="shared" si="3"/>
        <v>896509.5</v>
      </c>
    </row>
    <row r="23" spans="1:13" ht="16.5" thickBot="1" x14ac:dyDescent="0.3">
      <c r="A23" s="198" t="s">
        <v>410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1:13" ht="16.5" thickBot="1" x14ac:dyDescent="0.3">
      <c r="A24" s="14" t="s">
        <v>101</v>
      </c>
      <c r="B24" s="16" t="s">
        <v>58</v>
      </c>
      <c r="C24" s="16" t="s">
        <v>42</v>
      </c>
      <c r="D24" s="16" t="s">
        <v>43</v>
      </c>
      <c r="E24" s="16" t="s">
        <v>44</v>
      </c>
      <c r="F24" s="16" t="s">
        <v>45</v>
      </c>
      <c r="G24" s="16" t="s">
        <v>59</v>
      </c>
      <c r="H24" s="16" t="s">
        <v>60</v>
      </c>
      <c r="I24" s="16" t="s">
        <v>61</v>
      </c>
      <c r="J24" s="16" t="s">
        <v>62</v>
      </c>
      <c r="K24" s="16" t="s">
        <v>63</v>
      </c>
      <c r="L24" s="16" t="s">
        <v>51</v>
      </c>
      <c r="M24" s="16" t="s">
        <v>64</v>
      </c>
    </row>
    <row r="25" spans="1:13" ht="16.5" thickBot="1" x14ac:dyDescent="0.3">
      <c r="A25" s="34" t="s">
        <v>102</v>
      </c>
      <c r="B25" s="35">
        <v>585000</v>
      </c>
      <c r="C25" s="35">
        <v>585000</v>
      </c>
      <c r="D25" s="35">
        <v>702000</v>
      </c>
      <c r="E25" s="35">
        <v>702000</v>
      </c>
      <c r="F25" s="35">
        <v>702000</v>
      </c>
      <c r="G25" s="35">
        <v>819000</v>
      </c>
      <c r="H25" s="35">
        <v>819000</v>
      </c>
      <c r="I25" s="35">
        <v>819000</v>
      </c>
      <c r="J25" s="35">
        <v>819000</v>
      </c>
      <c r="K25" s="35">
        <v>819000</v>
      </c>
      <c r="L25" s="35">
        <v>819000</v>
      </c>
      <c r="M25" s="35">
        <v>819000</v>
      </c>
    </row>
    <row r="26" spans="1:13" ht="16.5" thickBot="1" x14ac:dyDescent="0.3">
      <c r="A26" s="17" t="s">
        <v>103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6.5" thickBot="1" x14ac:dyDescent="0.3">
      <c r="A27" s="17" t="s">
        <v>104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1:13" ht="16.5" thickBot="1" x14ac:dyDescent="0.3">
      <c r="A28" s="17" t="s">
        <v>105</v>
      </c>
      <c r="B28" s="19">
        <f>B25</f>
        <v>585000</v>
      </c>
      <c r="C28" s="19">
        <f t="shared" ref="C28:M28" si="4">C25</f>
        <v>585000</v>
      </c>
      <c r="D28" s="19">
        <f t="shared" si="4"/>
        <v>702000</v>
      </c>
      <c r="E28" s="19">
        <f t="shared" si="4"/>
        <v>702000</v>
      </c>
      <c r="F28" s="19">
        <f t="shared" si="4"/>
        <v>702000</v>
      </c>
      <c r="G28" s="19">
        <f t="shared" si="4"/>
        <v>819000</v>
      </c>
      <c r="H28" s="19">
        <f t="shared" si="4"/>
        <v>819000</v>
      </c>
      <c r="I28" s="19">
        <f t="shared" si="4"/>
        <v>819000</v>
      </c>
      <c r="J28" s="19">
        <f t="shared" si="4"/>
        <v>819000</v>
      </c>
      <c r="K28" s="19">
        <f t="shared" si="4"/>
        <v>819000</v>
      </c>
      <c r="L28" s="19">
        <f t="shared" si="4"/>
        <v>819000</v>
      </c>
      <c r="M28" s="19">
        <f t="shared" si="4"/>
        <v>819000</v>
      </c>
    </row>
    <row r="29" spans="1:13" ht="16.5" thickBot="1" x14ac:dyDescent="0.3">
      <c r="A29" s="34" t="s">
        <v>106</v>
      </c>
      <c r="B29" s="35">
        <f>B32+B33+B34+B35+B36+B37</f>
        <v>304211.5</v>
      </c>
      <c r="C29" s="35">
        <f t="shared" ref="C29:M29" si="5">C32+C33+C34+C35+C36+C37</f>
        <v>304211.5</v>
      </c>
      <c r="D29" s="35">
        <f t="shared" si="5"/>
        <v>334631.5</v>
      </c>
      <c r="E29" s="35">
        <f t="shared" si="5"/>
        <v>334631.5</v>
      </c>
      <c r="F29" s="35">
        <f t="shared" si="5"/>
        <v>334631.5</v>
      </c>
      <c r="G29" s="35">
        <f t="shared" si="5"/>
        <v>365051.5</v>
      </c>
      <c r="H29" s="35">
        <f t="shared" si="5"/>
        <v>365051.5</v>
      </c>
      <c r="I29" s="35">
        <f t="shared" si="5"/>
        <v>365051.5</v>
      </c>
      <c r="J29" s="35">
        <f t="shared" si="5"/>
        <v>365051.5</v>
      </c>
      <c r="K29" s="35">
        <f t="shared" si="5"/>
        <v>365051.5</v>
      </c>
      <c r="L29" s="35">
        <f t="shared" si="5"/>
        <v>365051.5</v>
      </c>
      <c r="M29" s="35">
        <f t="shared" si="5"/>
        <v>365051.5</v>
      </c>
    </row>
    <row r="30" spans="1:13" ht="16.5" thickBot="1" x14ac:dyDescent="0.3">
      <c r="A30" s="17" t="s">
        <v>107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  <row r="31" spans="1:13" ht="16.5" thickBot="1" x14ac:dyDescent="0.3">
      <c r="A31" s="17" t="s">
        <v>108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16.5" thickBot="1" x14ac:dyDescent="0.3">
      <c r="A32" s="17" t="s">
        <v>109</v>
      </c>
      <c r="B32" s="19">
        <v>87546.8</v>
      </c>
      <c r="C32" s="19">
        <v>87546.8</v>
      </c>
      <c r="D32" s="19">
        <v>87546.8</v>
      </c>
      <c r="E32" s="19">
        <v>87546.8</v>
      </c>
      <c r="F32" s="19">
        <v>87546.8</v>
      </c>
      <c r="G32" s="19">
        <v>87546.8</v>
      </c>
      <c r="H32" s="19">
        <v>87546.8</v>
      </c>
      <c r="I32" s="19">
        <v>87546.8</v>
      </c>
      <c r="J32" s="19">
        <v>87546.8</v>
      </c>
      <c r="K32" s="19">
        <v>87546.8</v>
      </c>
      <c r="L32" s="19">
        <v>87546.8</v>
      </c>
      <c r="M32" s="19">
        <v>87546.8</v>
      </c>
    </row>
    <row r="33" spans="1:13" ht="16.5" thickBot="1" x14ac:dyDescent="0.3">
      <c r="A33" s="17" t="s">
        <v>110</v>
      </c>
      <c r="B33" s="19">
        <v>37850</v>
      </c>
      <c r="C33" s="19">
        <v>37850</v>
      </c>
      <c r="D33" s="19">
        <v>37850</v>
      </c>
      <c r="E33" s="19">
        <v>37850</v>
      </c>
      <c r="F33" s="19">
        <v>37850</v>
      </c>
      <c r="G33" s="19">
        <v>37850</v>
      </c>
      <c r="H33" s="19">
        <v>37850</v>
      </c>
      <c r="I33" s="19">
        <v>37850</v>
      </c>
      <c r="J33" s="19">
        <v>37850</v>
      </c>
      <c r="K33" s="19">
        <v>37850</v>
      </c>
      <c r="L33" s="19">
        <v>37850</v>
      </c>
      <c r="M33" s="19">
        <v>37850</v>
      </c>
    </row>
    <row r="34" spans="1:13" ht="16.5" thickBot="1" x14ac:dyDescent="0.3">
      <c r="A34" s="17" t="s">
        <v>111</v>
      </c>
      <c r="B34" s="19">
        <v>117000</v>
      </c>
      <c r="C34" s="19">
        <v>117000</v>
      </c>
      <c r="D34" s="19">
        <v>140400</v>
      </c>
      <c r="E34" s="19">
        <v>140400</v>
      </c>
      <c r="F34" s="19">
        <v>140400</v>
      </c>
      <c r="G34" s="19">
        <v>163800</v>
      </c>
      <c r="H34" s="19">
        <v>163800</v>
      </c>
      <c r="I34" s="19">
        <v>163800</v>
      </c>
      <c r="J34" s="19">
        <v>163800</v>
      </c>
      <c r="K34" s="19">
        <v>163800</v>
      </c>
      <c r="L34" s="19">
        <v>163800</v>
      </c>
      <c r="M34" s="19">
        <v>163800</v>
      </c>
    </row>
    <row r="35" spans="1:13" ht="16.5" thickBot="1" x14ac:dyDescent="0.3">
      <c r="A35" s="17" t="s">
        <v>114</v>
      </c>
      <c r="B35" s="19">
        <v>5661.7</v>
      </c>
      <c r="C35" s="19">
        <v>5661.7</v>
      </c>
      <c r="D35" s="19">
        <v>5661.7</v>
      </c>
      <c r="E35" s="19">
        <v>5661.7</v>
      </c>
      <c r="F35" s="19">
        <v>5661.7</v>
      </c>
      <c r="G35" s="19">
        <v>5661.7</v>
      </c>
      <c r="H35" s="19">
        <v>5661.7</v>
      </c>
      <c r="I35" s="19">
        <v>5661.7</v>
      </c>
      <c r="J35" s="19">
        <v>5661.7</v>
      </c>
      <c r="K35" s="19">
        <v>5661.7</v>
      </c>
      <c r="L35" s="19">
        <v>5661.7</v>
      </c>
      <c r="M35" s="19">
        <v>5661.7</v>
      </c>
    </row>
    <row r="36" spans="1:13" ht="16.5" thickBot="1" x14ac:dyDescent="0.3">
      <c r="A36" s="17" t="s">
        <v>112</v>
      </c>
      <c r="B36" s="19">
        <v>21053</v>
      </c>
      <c r="C36" s="19">
        <v>21053</v>
      </c>
      <c r="D36" s="19">
        <v>21053</v>
      </c>
      <c r="E36" s="19">
        <v>21053</v>
      </c>
      <c r="F36" s="19">
        <v>21053</v>
      </c>
      <c r="G36" s="19">
        <v>21053</v>
      </c>
      <c r="H36" s="19">
        <v>21053</v>
      </c>
      <c r="I36" s="19">
        <v>21053</v>
      </c>
      <c r="J36" s="19">
        <v>21053</v>
      </c>
      <c r="K36" s="19">
        <v>21053</v>
      </c>
      <c r="L36" s="19">
        <v>21053</v>
      </c>
      <c r="M36" s="19">
        <v>21053</v>
      </c>
    </row>
    <row r="37" spans="1:13" ht="16.5" thickBot="1" x14ac:dyDescent="0.3">
      <c r="A37" s="17" t="s">
        <v>117</v>
      </c>
      <c r="B37" s="19">
        <f>B28*6/100</f>
        <v>35100</v>
      </c>
      <c r="C37" s="19">
        <f t="shared" ref="C37:M37" si="6">C28*6/100</f>
        <v>35100</v>
      </c>
      <c r="D37" s="19">
        <f t="shared" si="6"/>
        <v>42120</v>
      </c>
      <c r="E37" s="19">
        <f t="shared" si="6"/>
        <v>42120</v>
      </c>
      <c r="F37" s="19">
        <f t="shared" si="6"/>
        <v>42120</v>
      </c>
      <c r="G37" s="19">
        <f t="shared" si="6"/>
        <v>49140</v>
      </c>
      <c r="H37" s="19">
        <f t="shared" si="6"/>
        <v>49140</v>
      </c>
      <c r="I37" s="19">
        <f t="shared" si="6"/>
        <v>49140</v>
      </c>
      <c r="J37" s="19">
        <f t="shared" si="6"/>
        <v>49140</v>
      </c>
      <c r="K37" s="19">
        <f t="shared" si="6"/>
        <v>49140</v>
      </c>
      <c r="L37" s="19">
        <f t="shared" si="6"/>
        <v>49140</v>
      </c>
      <c r="M37" s="19">
        <f t="shared" si="6"/>
        <v>49140</v>
      </c>
    </row>
    <row r="38" spans="1:13" ht="16.5" thickBot="1" x14ac:dyDescent="0.3">
      <c r="A38" s="17" t="s">
        <v>414</v>
      </c>
      <c r="B38" s="19">
        <f>K18</f>
        <v>896509.5</v>
      </c>
      <c r="C38" s="19" t="s">
        <v>18</v>
      </c>
      <c r="D38" s="19" t="s">
        <v>18</v>
      </c>
      <c r="E38" s="19" t="s">
        <v>18</v>
      </c>
      <c r="F38" s="19" t="s">
        <v>18</v>
      </c>
      <c r="G38" s="19" t="s">
        <v>18</v>
      </c>
      <c r="H38" s="19" t="s">
        <v>18</v>
      </c>
      <c r="I38" s="19" t="s">
        <v>18</v>
      </c>
      <c r="J38" s="19" t="s">
        <v>18</v>
      </c>
      <c r="K38" s="19" t="s">
        <v>18</v>
      </c>
      <c r="L38" s="19" t="s">
        <v>18</v>
      </c>
      <c r="M38" s="19" t="s">
        <v>18</v>
      </c>
    </row>
    <row r="39" spans="1:13" ht="16.5" thickBot="1" x14ac:dyDescent="0.3">
      <c r="A39" s="34" t="s">
        <v>113</v>
      </c>
      <c r="B39" s="35">
        <f>B38+B25-B29</f>
        <v>1177298</v>
      </c>
      <c r="C39" s="35">
        <f t="shared" ref="C39:M39" si="7">B39+C25-C29</f>
        <v>1458086.5</v>
      </c>
      <c r="D39" s="35">
        <f t="shared" si="7"/>
        <v>1825455</v>
      </c>
      <c r="E39" s="35">
        <f t="shared" si="7"/>
        <v>2192823.5</v>
      </c>
      <c r="F39" s="35">
        <f t="shared" si="7"/>
        <v>2560192</v>
      </c>
      <c r="G39" s="35">
        <f t="shared" si="7"/>
        <v>3014140.5</v>
      </c>
      <c r="H39" s="35">
        <f t="shared" si="7"/>
        <v>3468089</v>
      </c>
      <c r="I39" s="35">
        <f t="shared" si="7"/>
        <v>3922037.5</v>
      </c>
      <c r="J39" s="35">
        <f t="shared" si="7"/>
        <v>4375986</v>
      </c>
      <c r="K39" s="35">
        <f t="shared" si="7"/>
        <v>4829934.5</v>
      </c>
      <c r="L39" s="35">
        <f t="shared" si="7"/>
        <v>5283883</v>
      </c>
      <c r="M39" s="35">
        <f t="shared" si="7"/>
        <v>5737831.5</v>
      </c>
    </row>
    <row r="43" spans="1:13" ht="16.5" thickBot="1" x14ac:dyDescent="0.3">
      <c r="A43" s="198" t="s">
        <v>411</v>
      </c>
      <c r="B43" s="198"/>
      <c r="C43" s="198"/>
      <c r="D43" s="198"/>
      <c r="E43" s="198"/>
      <c r="F43" s="198"/>
      <c r="G43" s="198"/>
      <c r="H43" s="198"/>
      <c r="I43" s="198"/>
      <c r="J43" s="198"/>
    </row>
    <row r="44" spans="1:13" ht="16.5" thickBot="1" x14ac:dyDescent="0.3">
      <c r="A44" s="14" t="s">
        <v>115</v>
      </c>
      <c r="B44" s="16" t="s">
        <v>58</v>
      </c>
      <c r="C44" s="16" t="s">
        <v>42</v>
      </c>
      <c r="D44" s="16" t="s">
        <v>43</v>
      </c>
      <c r="E44" s="16" t="s">
        <v>44</v>
      </c>
      <c r="F44" s="16" t="s">
        <v>45</v>
      </c>
      <c r="G44" s="16" t="s">
        <v>59</v>
      </c>
      <c r="H44" s="16" t="s">
        <v>60</v>
      </c>
      <c r="I44" s="16" t="s">
        <v>61</v>
      </c>
      <c r="J44" s="16" t="s">
        <v>62</v>
      </c>
      <c r="K44" s="16" t="s">
        <v>63</v>
      </c>
      <c r="L44" s="16" t="s">
        <v>51</v>
      </c>
      <c r="M44" s="16" t="s">
        <v>64</v>
      </c>
    </row>
    <row r="45" spans="1:13" ht="16.5" thickBot="1" x14ac:dyDescent="0.3">
      <c r="A45" s="34" t="s">
        <v>116</v>
      </c>
      <c r="B45" s="35">
        <v>819000</v>
      </c>
      <c r="C45" s="35">
        <v>819000</v>
      </c>
      <c r="D45" s="35">
        <v>819000</v>
      </c>
      <c r="E45" s="35">
        <v>819000</v>
      </c>
      <c r="F45" s="35">
        <v>819000</v>
      </c>
      <c r="G45" s="35">
        <v>819000</v>
      </c>
      <c r="H45" s="35">
        <v>819000</v>
      </c>
      <c r="I45" s="35">
        <v>819000</v>
      </c>
      <c r="J45" s="35">
        <v>819000</v>
      </c>
      <c r="K45" s="35">
        <v>819000</v>
      </c>
      <c r="L45" s="35">
        <v>819000</v>
      </c>
      <c r="M45" s="35">
        <v>819000</v>
      </c>
    </row>
    <row r="46" spans="1:13" ht="16.5" thickBot="1" x14ac:dyDescent="0.3">
      <c r="A46" s="17" t="s">
        <v>103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</row>
    <row r="47" spans="1:13" ht="16.5" thickBot="1" x14ac:dyDescent="0.3">
      <c r="A47" s="17" t="s">
        <v>104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1:13" ht="16.5" thickBot="1" x14ac:dyDescent="0.3">
      <c r="A48" s="17" t="s">
        <v>105</v>
      </c>
      <c r="B48" s="19">
        <v>819000</v>
      </c>
      <c r="C48" s="19">
        <v>819000</v>
      </c>
      <c r="D48" s="19">
        <v>819000</v>
      </c>
      <c r="E48" s="19">
        <v>819000</v>
      </c>
      <c r="F48" s="19">
        <v>819000</v>
      </c>
      <c r="G48" s="19">
        <v>819000</v>
      </c>
      <c r="H48" s="19">
        <v>819000</v>
      </c>
      <c r="I48" s="19">
        <v>819000</v>
      </c>
      <c r="J48" s="19">
        <v>819000</v>
      </c>
      <c r="K48" s="19">
        <v>819000</v>
      </c>
      <c r="L48" s="19">
        <v>819000</v>
      </c>
      <c r="M48" s="19">
        <v>819000</v>
      </c>
    </row>
    <row r="49" spans="1:13" ht="16.5" thickBot="1" x14ac:dyDescent="0.3">
      <c r="A49" s="34" t="s">
        <v>106</v>
      </c>
      <c r="B49" s="35">
        <f>B52+B53+B54+B55+B56+B57</f>
        <v>365051.5</v>
      </c>
      <c r="C49" s="35">
        <f t="shared" ref="C49:M49" si="8">C52+C53+C54+C55+C56+C57</f>
        <v>365051.5</v>
      </c>
      <c r="D49" s="35">
        <f t="shared" si="8"/>
        <v>365051.5</v>
      </c>
      <c r="E49" s="35">
        <f t="shared" si="8"/>
        <v>365051.5</v>
      </c>
      <c r="F49" s="35">
        <f t="shared" si="8"/>
        <v>365051.5</v>
      </c>
      <c r="G49" s="35">
        <f t="shared" si="8"/>
        <v>365051.5</v>
      </c>
      <c r="H49" s="35">
        <f t="shared" si="8"/>
        <v>365051.5</v>
      </c>
      <c r="I49" s="35">
        <f t="shared" si="8"/>
        <v>365051.5</v>
      </c>
      <c r="J49" s="35">
        <f t="shared" si="8"/>
        <v>365051.5</v>
      </c>
      <c r="K49" s="35">
        <f t="shared" si="8"/>
        <v>365051.5</v>
      </c>
      <c r="L49" s="35">
        <f t="shared" si="8"/>
        <v>365051.5</v>
      </c>
      <c r="M49" s="35">
        <f t="shared" si="8"/>
        <v>365051.5</v>
      </c>
    </row>
    <row r="50" spans="1:13" ht="16.5" thickBot="1" x14ac:dyDescent="0.3">
      <c r="A50" s="17" t="s">
        <v>107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1:13" ht="16.5" thickBot="1" x14ac:dyDescent="0.3">
      <c r="A51" s="17" t="s">
        <v>108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</row>
    <row r="52" spans="1:13" ht="16.5" thickBot="1" x14ac:dyDescent="0.3">
      <c r="A52" s="17" t="s">
        <v>109</v>
      </c>
      <c r="B52" s="19">
        <v>87546.8</v>
      </c>
      <c r="C52" s="19">
        <v>87546.8</v>
      </c>
      <c r="D52" s="19">
        <v>87546.8</v>
      </c>
      <c r="E52" s="19">
        <v>87546.8</v>
      </c>
      <c r="F52" s="19">
        <v>87546.8</v>
      </c>
      <c r="G52" s="19">
        <v>87546.8</v>
      </c>
      <c r="H52" s="19">
        <v>87546.8</v>
      </c>
      <c r="I52" s="19">
        <v>87546.8</v>
      </c>
      <c r="J52" s="19">
        <v>87546.8</v>
      </c>
      <c r="K52" s="19">
        <v>87546.8</v>
      </c>
      <c r="L52" s="19">
        <v>87546.8</v>
      </c>
      <c r="M52" s="19">
        <v>87546.8</v>
      </c>
    </row>
    <row r="53" spans="1:13" ht="16.5" thickBot="1" x14ac:dyDescent="0.3">
      <c r="A53" s="17" t="s">
        <v>110</v>
      </c>
      <c r="B53" s="19">
        <v>37850</v>
      </c>
      <c r="C53" s="19">
        <v>37850</v>
      </c>
      <c r="D53" s="19">
        <v>37850</v>
      </c>
      <c r="E53" s="19">
        <v>37850</v>
      </c>
      <c r="F53" s="19">
        <v>37850</v>
      </c>
      <c r="G53" s="19">
        <v>37850</v>
      </c>
      <c r="H53" s="19">
        <v>37850</v>
      </c>
      <c r="I53" s="19">
        <v>37850</v>
      </c>
      <c r="J53" s="19">
        <v>37850</v>
      </c>
      <c r="K53" s="19">
        <v>37850</v>
      </c>
      <c r="L53" s="19">
        <v>37850</v>
      </c>
      <c r="M53" s="19">
        <v>37850</v>
      </c>
    </row>
    <row r="54" spans="1:13" ht="16.5" thickBot="1" x14ac:dyDescent="0.3">
      <c r="A54" s="17" t="s">
        <v>111</v>
      </c>
      <c r="B54" s="19">
        <v>163800</v>
      </c>
      <c r="C54" s="19">
        <v>163800</v>
      </c>
      <c r="D54" s="19">
        <v>163800</v>
      </c>
      <c r="E54" s="19">
        <v>163800</v>
      </c>
      <c r="F54" s="19">
        <v>163800</v>
      </c>
      <c r="G54" s="19">
        <v>163800</v>
      </c>
      <c r="H54" s="19">
        <v>163800</v>
      </c>
      <c r="I54" s="19">
        <v>163800</v>
      </c>
      <c r="J54" s="19">
        <v>163800</v>
      </c>
      <c r="K54" s="19">
        <v>163800</v>
      </c>
      <c r="L54" s="19">
        <v>163800</v>
      </c>
      <c r="M54" s="19">
        <v>163800</v>
      </c>
    </row>
    <row r="55" spans="1:13" ht="16.5" thickBot="1" x14ac:dyDescent="0.3">
      <c r="A55" s="17" t="s">
        <v>114</v>
      </c>
      <c r="B55" s="19">
        <v>5661.7</v>
      </c>
      <c r="C55" s="19">
        <v>5661.7</v>
      </c>
      <c r="D55" s="19">
        <v>5661.7</v>
      </c>
      <c r="E55" s="19">
        <v>5661.7</v>
      </c>
      <c r="F55" s="19">
        <v>5661.7</v>
      </c>
      <c r="G55" s="19">
        <v>5661.7</v>
      </c>
      <c r="H55" s="19">
        <v>5661.7</v>
      </c>
      <c r="I55" s="19">
        <v>5661.7</v>
      </c>
      <c r="J55" s="19">
        <v>5661.7</v>
      </c>
      <c r="K55" s="19">
        <v>5661.7</v>
      </c>
      <c r="L55" s="19">
        <v>5661.7</v>
      </c>
      <c r="M55" s="19">
        <v>5661.7</v>
      </c>
    </row>
    <row r="56" spans="1:13" ht="16.5" thickBot="1" x14ac:dyDescent="0.3">
      <c r="A56" s="17" t="s">
        <v>112</v>
      </c>
      <c r="B56" s="19">
        <v>21053</v>
      </c>
      <c r="C56" s="19">
        <v>21053</v>
      </c>
      <c r="D56" s="19">
        <v>21053</v>
      </c>
      <c r="E56" s="19">
        <v>21053</v>
      </c>
      <c r="F56" s="19">
        <v>21053</v>
      </c>
      <c r="G56" s="19">
        <v>21053</v>
      </c>
      <c r="H56" s="19">
        <v>21053</v>
      </c>
      <c r="I56" s="19">
        <v>21053</v>
      </c>
      <c r="J56" s="19">
        <v>21053</v>
      </c>
      <c r="K56" s="19">
        <v>21053</v>
      </c>
      <c r="L56" s="19">
        <v>21053</v>
      </c>
      <c r="M56" s="19">
        <v>21053</v>
      </c>
    </row>
    <row r="57" spans="1:13" ht="16.5" thickBot="1" x14ac:dyDescent="0.3">
      <c r="A57" s="17" t="s">
        <v>117</v>
      </c>
      <c r="B57" s="19">
        <f>B45*6/100</f>
        <v>49140</v>
      </c>
      <c r="C57" s="19">
        <f t="shared" ref="C57:M57" si="9">C45*6/100</f>
        <v>49140</v>
      </c>
      <c r="D57" s="19">
        <f t="shared" si="9"/>
        <v>49140</v>
      </c>
      <c r="E57" s="19">
        <f t="shared" si="9"/>
        <v>49140</v>
      </c>
      <c r="F57" s="19">
        <f t="shared" si="9"/>
        <v>49140</v>
      </c>
      <c r="G57" s="19">
        <f t="shared" si="9"/>
        <v>49140</v>
      </c>
      <c r="H57" s="19">
        <f t="shared" si="9"/>
        <v>49140</v>
      </c>
      <c r="I57" s="19">
        <f t="shared" si="9"/>
        <v>49140</v>
      </c>
      <c r="J57" s="19">
        <f t="shared" si="9"/>
        <v>49140</v>
      </c>
      <c r="K57" s="19">
        <f t="shared" si="9"/>
        <v>49140</v>
      </c>
      <c r="L57" s="19">
        <f t="shared" si="9"/>
        <v>49140</v>
      </c>
      <c r="M57" s="19">
        <f t="shared" si="9"/>
        <v>49140</v>
      </c>
    </row>
    <row r="58" spans="1:13" ht="16.5" thickBot="1" x14ac:dyDescent="0.3">
      <c r="A58" s="17" t="s">
        <v>415</v>
      </c>
      <c r="B58" s="19">
        <f>M39</f>
        <v>5737831.5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6.5" thickBot="1" x14ac:dyDescent="0.3">
      <c r="A59" s="34" t="s">
        <v>118</v>
      </c>
      <c r="B59" s="35">
        <f>B58+B45-B49</f>
        <v>6191780</v>
      </c>
      <c r="C59" s="35">
        <f t="shared" ref="C59:M59" si="10">B59+C45-C49</f>
        <v>6645728.5</v>
      </c>
      <c r="D59" s="35">
        <f t="shared" si="10"/>
        <v>7099677</v>
      </c>
      <c r="E59" s="35">
        <f t="shared" si="10"/>
        <v>7553625.5</v>
      </c>
      <c r="F59" s="35">
        <f t="shared" si="10"/>
        <v>8007574</v>
      </c>
      <c r="G59" s="35">
        <f t="shared" si="10"/>
        <v>8461522.5</v>
      </c>
      <c r="H59" s="35">
        <f t="shared" si="10"/>
        <v>8915471</v>
      </c>
      <c r="I59" s="35">
        <f t="shared" si="10"/>
        <v>9369419.5</v>
      </c>
      <c r="J59" s="35">
        <f t="shared" si="10"/>
        <v>9823368</v>
      </c>
      <c r="K59" s="35">
        <f t="shared" si="10"/>
        <v>10277316.5</v>
      </c>
      <c r="L59" s="35">
        <f t="shared" si="10"/>
        <v>10731265</v>
      </c>
      <c r="M59" s="35">
        <f t="shared" si="10"/>
        <v>11185213.5</v>
      </c>
    </row>
    <row r="60" spans="1:13" ht="15.75" x14ac:dyDescent="0.25">
      <c r="A60" s="13"/>
    </row>
  </sheetData>
  <mergeCells count="4">
    <mergeCell ref="A1:O1"/>
    <mergeCell ref="A3:K3"/>
    <mergeCell ref="A23:M23"/>
    <mergeCell ref="A43:J4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19" workbookViewId="0">
      <selection activeCell="P30" sqref="P30"/>
    </sheetView>
  </sheetViews>
  <sheetFormatPr defaultRowHeight="15" x14ac:dyDescent="0.25"/>
  <cols>
    <col min="1" max="1" width="28.5703125" customWidth="1"/>
    <col min="2" max="2" width="9.28515625" bestFit="1" customWidth="1"/>
    <col min="12" max="12" width="10" bestFit="1" customWidth="1"/>
  </cols>
  <sheetData>
    <row r="1" spans="1:18" ht="15.75" x14ac:dyDescent="0.25">
      <c r="A1" s="195" t="s">
        <v>119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5" spans="1:18" ht="16.5" thickBot="1" x14ac:dyDescent="0.3">
      <c r="A5" s="195" t="s">
        <v>419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8" ht="16.5" thickBot="1" x14ac:dyDescent="0.3">
      <c r="A6" s="14" t="s">
        <v>120</v>
      </c>
      <c r="B6" s="16" t="s">
        <v>58</v>
      </c>
      <c r="C6" s="16" t="s">
        <v>42</v>
      </c>
      <c r="D6" s="16" t="s">
        <v>43</v>
      </c>
      <c r="E6" s="16" t="s">
        <v>44</v>
      </c>
      <c r="F6" s="16" t="s">
        <v>45</v>
      </c>
      <c r="G6" s="16" t="s">
        <v>59</v>
      </c>
      <c r="H6" s="16" t="s">
        <v>60</v>
      </c>
      <c r="I6" s="16" t="s">
        <v>61</v>
      </c>
      <c r="J6" s="16" t="s">
        <v>62</v>
      </c>
      <c r="K6" s="16" t="s">
        <v>63</v>
      </c>
      <c r="L6" s="16" t="s">
        <v>51</v>
      </c>
      <c r="M6" s="16" t="s">
        <v>64</v>
      </c>
    </row>
    <row r="7" spans="1:18" ht="16.5" thickBot="1" x14ac:dyDescent="0.3">
      <c r="A7" s="17" t="s">
        <v>105</v>
      </c>
      <c r="B7" s="19">
        <v>0</v>
      </c>
      <c r="C7" s="19">
        <v>0</v>
      </c>
      <c r="D7" s="19">
        <v>0</v>
      </c>
      <c r="E7" s="19">
        <v>0</v>
      </c>
      <c r="F7" s="19">
        <f>'Лист3 Доходы и расходы'!E40</f>
        <v>175500</v>
      </c>
      <c r="G7" s="19">
        <f>'Лист3 Доходы и расходы'!E41</f>
        <v>234000</v>
      </c>
      <c r="H7" s="19">
        <f>'Лист3 Доходы и расходы'!E42</f>
        <v>234000</v>
      </c>
      <c r="I7" s="19">
        <f>'Лист3 Доходы и расходы'!E43</f>
        <v>351000</v>
      </c>
      <c r="J7" s="19">
        <f>'Лист3 Доходы и расходы'!E44</f>
        <v>351000</v>
      </c>
      <c r="K7" s="19">
        <f>'Лист3 Доходы и расходы'!E45</f>
        <v>351000</v>
      </c>
      <c r="L7" s="19">
        <f>'Лист3 Доходы и расходы'!E46</f>
        <v>468000</v>
      </c>
      <c r="M7" s="19">
        <f>'Лист3 Доходы и расходы'!E47</f>
        <v>468000</v>
      </c>
      <c r="P7" s="145">
        <f>SUM(B7:O7)</f>
        <v>2632500</v>
      </c>
    </row>
    <row r="8" spans="1:18" ht="16.5" thickBot="1" x14ac:dyDescent="0.3">
      <c r="A8" s="17" t="s">
        <v>121</v>
      </c>
      <c r="B8" s="19">
        <v>0</v>
      </c>
      <c r="C8" s="19">
        <v>0</v>
      </c>
      <c r="D8" s="19">
        <v>0</v>
      </c>
      <c r="E8" s="19">
        <v>0</v>
      </c>
      <c r="F8" s="19">
        <f>26*'Лист3 Доходы и расходы'!B40*250</f>
        <v>97500</v>
      </c>
      <c r="G8" s="19">
        <f>26*250*'Лист3 Доходы и расходы'!B41</f>
        <v>130000</v>
      </c>
      <c r="H8" s="19">
        <f>26*250*'Лист3 Доходы и расходы'!B42</f>
        <v>130000</v>
      </c>
      <c r="I8" s="19">
        <f>26*250*'Лист3 Доходы и расходы'!B43</f>
        <v>195000</v>
      </c>
      <c r="J8" s="19">
        <f>26*250*'Лист3 Доходы и расходы'!B44</f>
        <v>195000</v>
      </c>
      <c r="K8" s="19">
        <f>26*250*'Лист3 Доходы и расходы'!B45</f>
        <v>195000</v>
      </c>
      <c r="L8" s="19">
        <f>26*250*'Лист3 Доходы и расходы'!B46</f>
        <v>260000</v>
      </c>
      <c r="M8" s="19">
        <f>26*250*'Лист3 Доходы и расходы'!B47</f>
        <v>260000</v>
      </c>
    </row>
    <row r="9" spans="1:18" ht="16.5" thickBot="1" x14ac:dyDescent="0.3">
      <c r="A9" s="17" t="s">
        <v>122</v>
      </c>
      <c r="B9" s="19">
        <v>0</v>
      </c>
      <c r="C9" s="19">
        <v>0</v>
      </c>
      <c r="D9" s="19">
        <v>0</v>
      </c>
      <c r="E9" s="19">
        <v>0</v>
      </c>
      <c r="F9" s="19">
        <f>F7-F8</f>
        <v>78000</v>
      </c>
      <c r="G9" s="19">
        <f t="shared" ref="G9:M9" si="0">G7-G8</f>
        <v>104000</v>
      </c>
      <c r="H9" s="19">
        <f t="shared" si="0"/>
        <v>104000</v>
      </c>
      <c r="I9" s="19">
        <f t="shared" si="0"/>
        <v>156000</v>
      </c>
      <c r="J9" s="19">
        <f t="shared" si="0"/>
        <v>156000</v>
      </c>
      <c r="K9" s="19">
        <f t="shared" si="0"/>
        <v>156000</v>
      </c>
      <c r="L9" s="19">
        <f t="shared" si="0"/>
        <v>208000</v>
      </c>
      <c r="M9" s="19">
        <f t="shared" si="0"/>
        <v>208000</v>
      </c>
    </row>
    <row r="10" spans="1:18" ht="16.5" thickBot="1" x14ac:dyDescent="0.3">
      <c r="A10" s="17" t="s">
        <v>123</v>
      </c>
      <c r="B10" s="19">
        <v>0</v>
      </c>
      <c r="C10" s="19">
        <v>0</v>
      </c>
      <c r="D10" s="19">
        <v>0</v>
      </c>
      <c r="E10" s="19">
        <f>'Лист7 Прогнозный баланс '!C12</f>
        <v>35811.800000000003</v>
      </c>
      <c r="F10" s="19">
        <f>'Лист7 Прогнозный баланс '!D12</f>
        <v>87546.8</v>
      </c>
      <c r="G10" s="19">
        <f>'Лист7 Прогнозный баланс '!E12</f>
        <v>87546.8</v>
      </c>
      <c r="H10" s="19">
        <f>'Лист7 Прогнозный баланс '!F12</f>
        <v>87546.8</v>
      </c>
      <c r="I10" s="19">
        <f>'Лист7 Прогнозный баланс '!G12</f>
        <v>87546.8</v>
      </c>
      <c r="J10" s="19">
        <f>'Лист7 Прогнозный баланс '!H12</f>
        <v>87546.8</v>
      </c>
      <c r="K10" s="19">
        <f>'Лист7 Прогнозный баланс '!I12</f>
        <v>87546.8</v>
      </c>
      <c r="L10" s="19">
        <f>'Лист7 Прогнозный баланс '!J12</f>
        <v>87546.8</v>
      </c>
      <c r="M10" s="19">
        <f>'Лист7 Прогнозный баланс '!K12</f>
        <v>87546.8</v>
      </c>
    </row>
    <row r="11" spans="1:18" ht="16.5" thickBot="1" x14ac:dyDescent="0.3">
      <c r="A11" s="17" t="s">
        <v>124</v>
      </c>
      <c r="B11" s="19">
        <v>0</v>
      </c>
      <c r="C11" s="19">
        <v>0</v>
      </c>
      <c r="D11" s="19">
        <v>0</v>
      </c>
      <c r="E11" s="19">
        <f>'Лист7 Прогнозный баланс '!C14</f>
        <v>0</v>
      </c>
      <c r="F11" s="19">
        <f>'Лист7 Прогнозный баланс '!D14</f>
        <v>8775</v>
      </c>
      <c r="G11" s="19">
        <f>'Лист7 Прогнозный баланс '!E14</f>
        <v>11700</v>
      </c>
      <c r="H11" s="19">
        <f>'Лист7 Прогнозный баланс '!F14</f>
        <v>11700</v>
      </c>
      <c r="I11" s="19">
        <f>'Лист7 Прогнозный баланс '!G14</f>
        <v>70200</v>
      </c>
      <c r="J11" s="19">
        <f>'Лист7 Прогнозный баланс '!H14</f>
        <v>70200</v>
      </c>
      <c r="K11" s="19">
        <f>'Лист7 Прогнозный баланс '!I14</f>
        <v>70200</v>
      </c>
      <c r="L11" s="19">
        <f>'Лист7 Прогнозный баланс '!J14</f>
        <v>93600</v>
      </c>
      <c r="M11" s="19">
        <f>'Лист7 Прогнозный баланс '!K14</f>
        <v>93600</v>
      </c>
    </row>
    <row r="12" spans="1:18" ht="16.5" thickBot="1" x14ac:dyDescent="0.3">
      <c r="A12" s="17" t="s">
        <v>125</v>
      </c>
      <c r="B12" s="19">
        <v>0</v>
      </c>
      <c r="C12" s="19">
        <v>0</v>
      </c>
      <c r="D12" s="19">
        <v>0</v>
      </c>
      <c r="E12" s="19">
        <v>0</v>
      </c>
      <c r="F12" s="19">
        <f>F9-F10-F11</f>
        <v>-18321.800000000003</v>
      </c>
      <c r="G12" s="19">
        <f t="shared" ref="G12:M12" si="1">G9-G10-G11</f>
        <v>4753.1999999999971</v>
      </c>
      <c r="H12" s="19">
        <f t="shared" si="1"/>
        <v>4753.1999999999971</v>
      </c>
      <c r="I12" s="19">
        <f t="shared" si="1"/>
        <v>-1746.8000000000029</v>
      </c>
      <c r="J12" s="19">
        <f t="shared" si="1"/>
        <v>-1746.8000000000029</v>
      </c>
      <c r="K12" s="19">
        <f t="shared" si="1"/>
        <v>-1746.8000000000029</v>
      </c>
      <c r="L12" s="19">
        <f t="shared" si="1"/>
        <v>26853.199999999997</v>
      </c>
      <c r="M12" s="19">
        <f t="shared" si="1"/>
        <v>26853.199999999997</v>
      </c>
    </row>
    <row r="13" spans="1:18" ht="16.5" thickBot="1" x14ac:dyDescent="0.3">
      <c r="A13" s="17" t="s">
        <v>112</v>
      </c>
      <c r="B13" s="19">
        <v>0</v>
      </c>
      <c r="C13" s="19">
        <v>0</v>
      </c>
      <c r="D13" s="19">
        <v>0</v>
      </c>
      <c r="E13" s="19">
        <v>0</v>
      </c>
      <c r="F13" s="19">
        <f>'Лист7 Прогнозный баланс '!D17</f>
        <v>21053</v>
      </c>
      <c r="G13" s="19">
        <f>'Лист7 Прогнозный баланс '!E17</f>
        <v>21053</v>
      </c>
      <c r="H13" s="19">
        <f>'Лист7 Прогнозный баланс '!F17</f>
        <v>21053</v>
      </c>
      <c r="I13" s="19">
        <f>'Лист7 Прогнозный баланс '!G17</f>
        <v>21053</v>
      </c>
      <c r="J13" s="19">
        <f>'Лист7 Прогнозный баланс '!H17</f>
        <v>21053</v>
      </c>
      <c r="K13" s="19">
        <f>'Лист7 Прогнозный баланс '!I17</f>
        <v>21053</v>
      </c>
      <c r="L13" s="19">
        <f>'Лист7 Прогнозный баланс '!J17</f>
        <v>21053</v>
      </c>
      <c r="M13" s="19">
        <f>'Лист7 Прогнозный баланс '!K17</f>
        <v>21053</v>
      </c>
    </row>
    <row r="14" spans="1:18" ht="32.25" thickBot="1" x14ac:dyDescent="0.3">
      <c r="A14" s="17" t="s">
        <v>126</v>
      </c>
      <c r="B14" s="19">
        <v>0</v>
      </c>
      <c r="C14" s="19">
        <v>0</v>
      </c>
      <c r="D14" s="19">
        <v>0</v>
      </c>
      <c r="E14" s="19">
        <f>'Лист7 Прогнозный баланс '!C15</f>
        <v>5661.7</v>
      </c>
      <c r="F14" s="19">
        <f>'Лист7 Прогнозный баланс '!D15</f>
        <v>5661.7</v>
      </c>
      <c r="G14" s="19">
        <f>'Лист7 Прогнозный баланс '!E15</f>
        <v>5661.7</v>
      </c>
      <c r="H14" s="19">
        <f>'Лист7 Прогнозный баланс '!F15</f>
        <v>5661.7</v>
      </c>
      <c r="I14" s="19">
        <f>'Лист7 Прогнозный баланс '!G15</f>
        <v>5661.7</v>
      </c>
      <c r="J14" s="19">
        <f>'Лист7 Прогнозный баланс '!H15</f>
        <v>5661.7</v>
      </c>
      <c r="K14" s="19">
        <f>'Лист7 Прогнозный баланс '!I15</f>
        <v>5661.7</v>
      </c>
      <c r="L14" s="19">
        <f>'Лист7 Прогнозный баланс '!J15</f>
        <v>5661.7</v>
      </c>
      <c r="M14" s="19">
        <f>'Лист7 Прогнозный баланс '!K15</f>
        <v>5661.7</v>
      </c>
    </row>
    <row r="15" spans="1:18" ht="16.5" thickBot="1" x14ac:dyDescent="0.3">
      <c r="A15" s="17" t="s">
        <v>131</v>
      </c>
      <c r="B15" s="19">
        <f>B7*0.06</f>
        <v>0</v>
      </c>
      <c r="C15" s="19">
        <f t="shared" ref="C15:M15" si="2">C7*0.06</f>
        <v>0</v>
      </c>
      <c r="D15" s="19">
        <f t="shared" si="2"/>
        <v>0</v>
      </c>
      <c r="E15" s="19">
        <f t="shared" si="2"/>
        <v>0</v>
      </c>
      <c r="F15" s="19">
        <f t="shared" si="2"/>
        <v>10530</v>
      </c>
      <c r="G15" s="19">
        <f t="shared" si="2"/>
        <v>14040</v>
      </c>
      <c r="H15" s="19">
        <f t="shared" si="2"/>
        <v>14040</v>
      </c>
      <c r="I15" s="19">
        <f t="shared" si="2"/>
        <v>21060</v>
      </c>
      <c r="J15" s="19">
        <f t="shared" si="2"/>
        <v>21060</v>
      </c>
      <c r="K15" s="19">
        <f t="shared" si="2"/>
        <v>21060</v>
      </c>
      <c r="L15" s="19">
        <f t="shared" si="2"/>
        <v>28080</v>
      </c>
      <c r="M15" s="19">
        <f t="shared" si="2"/>
        <v>28080</v>
      </c>
    </row>
    <row r="16" spans="1:18" ht="16.5" thickBot="1" x14ac:dyDescent="0.3">
      <c r="A16" s="34" t="s">
        <v>130</v>
      </c>
      <c r="B16" s="135">
        <f>B7-B8-B10-B11-B13-B14-B15</f>
        <v>0</v>
      </c>
      <c r="C16" s="135">
        <f t="shared" ref="C16:M16" si="3">C7-C8-C10-C11-C13-C14-C15</f>
        <v>0</v>
      </c>
      <c r="D16" s="135">
        <f t="shared" si="3"/>
        <v>0</v>
      </c>
      <c r="E16" s="135">
        <f t="shared" si="3"/>
        <v>-41473.5</v>
      </c>
      <c r="F16" s="135">
        <f t="shared" si="3"/>
        <v>-55566.5</v>
      </c>
      <c r="G16" s="135">
        <f t="shared" si="3"/>
        <v>-36001.5</v>
      </c>
      <c r="H16" s="135">
        <f t="shared" si="3"/>
        <v>-36001.5</v>
      </c>
      <c r="I16" s="135">
        <f t="shared" si="3"/>
        <v>-49521.5</v>
      </c>
      <c r="J16" s="135">
        <f t="shared" si="3"/>
        <v>-49521.5</v>
      </c>
      <c r="K16" s="135">
        <f t="shared" si="3"/>
        <v>-49521.5</v>
      </c>
      <c r="L16" s="135">
        <f t="shared" si="3"/>
        <v>-27941.500000000004</v>
      </c>
      <c r="M16" s="135">
        <f t="shared" si="3"/>
        <v>-27941.500000000004</v>
      </c>
      <c r="P16">
        <f>SUM(B16:O16)</f>
        <v>-373490.5</v>
      </c>
    </row>
    <row r="17" spans="1:16" ht="32.25" thickBot="1" x14ac:dyDescent="0.3">
      <c r="A17" s="42" t="s">
        <v>416</v>
      </c>
      <c r="B17" s="138">
        <f>B12-B13-B14</f>
        <v>0</v>
      </c>
      <c r="C17" s="138">
        <f t="shared" ref="C17:M17" si="4">C12-C13-C14</f>
        <v>0</v>
      </c>
      <c r="D17" s="138">
        <f t="shared" si="4"/>
        <v>0</v>
      </c>
      <c r="E17" s="141">
        <f t="shared" si="4"/>
        <v>-5661.7</v>
      </c>
      <c r="F17" s="141">
        <f t="shared" si="4"/>
        <v>-45036.5</v>
      </c>
      <c r="G17" s="141">
        <f t="shared" si="4"/>
        <v>-21961.500000000004</v>
      </c>
      <c r="H17" s="141">
        <f t="shared" si="4"/>
        <v>-21961.500000000004</v>
      </c>
      <c r="I17" s="141">
        <f t="shared" si="4"/>
        <v>-28461.500000000004</v>
      </c>
      <c r="J17" s="141">
        <f t="shared" si="4"/>
        <v>-28461.500000000004</v>
      </c>
      <c r="K17" s="141">
        <f t="shared" si="4"/>
        <v>-28461.500000000004</v>
      </c>
      <c r="L17" s="138">
        <f t="shared" si="4"/>
        <v>138.49999999999727</v>
      </c>
      <c r="M17" s="138">
        <f t="shared" si="4"/>
        <v>138.49999999999727</v>
      </c>
    </row>
    <row r="19" spans="1:16" ht="16.5" thickBot="1" x14ac:dyDescent="0.3">
      <c r="A19" s="198" t="s">
        <v>417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6" ht="16.5" thickBot="1" x14ac:dyDescent="0.3">
      <c r="A20" s="14" t="s">
        <v>132</v>
      </c>
      <c r="B20" s="16" t="s">
        <v>58</v>
      </c>
      <c r="C20" s="16" t="s">
        <v>42</v>
      </c>
      <c r="D20" s="16" t="s">
        <v>43</v>
      </c>
      <c r="E20" s="16" t="s">
        <v>44</v>
      </c>
      <c r="F20" s="16" t="s">
        <v>45</v>
      </c>
      <c r="G20" s="16" t="s">
        <v>59</v>
      </c>
      <c r="H20" s="16" t="s">
        <v>60</v>
      </c>
      <c r="I20" s="16" t="s">
        <v>61</v>
      </c>
      <c r="J20" s="16" t="s">
        <v>62</v>
      </c>
      <c r="K20" s="16" t="s">
        <v>63</v>
      </c>
      <c r="L20" s="16" t="s">
        <v>51</v>
      </c>
      <c r="M20" s="16" t="s">
        <v>64</v>
      </c>
    </row>
    <row r="21" spans="1:16" ht="16.5" thickBot="1" x14ac:dyDescent="0.3">
      <c r="A21" s="17" t="s">
        <v>105</v>
      </c>
      <c r="B21" s="19">
        <f>'Лист3 Доходы и расходы'!F36</f>
        <v>585000</v>
      </c>
      <c r="C21" s="19">
        <f>'Лист3 Доходы и расходы'!F37</f>
        <v>585000</v>
      </c>
      <c r="D21" s="19">
        <f>'Лист3 Доходы и расходы'!F38</f>
        <v>702000</v>
      </c>
      <c r="E21" s="19">
        <f>'Лист3 Доходы и расходы'!F39</f>
        <v>702000</v>
      </c>
      <c r="F21" s="19">
        <f>'Лист3 Доходы и расходы'!F40</f>
        <v>702000</v>
      </c>
      <c r="G21" s="19">
        <f>'Лист3 Доходы и расходы'!F41</f>
        <v>819000</v>
      </c>
      <c r="H21" s="19">
        <f>'Лист3 Доходы и расходы'!G41</f>
        <v>819000</v>
      </c>
      <c r="I21" s="19">
        <f>'Лист3 Доходы и расходы'!F43</f>
        <v>819000</v>
      </c>
      <c r="J21" s="19">
        <f>'Лист3 Доходы и расходы'!F44</f>
        <v>819000</v>
      </c>
      <c r="K21" s="19">
        <f>'Лист3 Доходы и расходы'!F45</f>
        <v>819000</v>
      </c>
      <c r="L21" s="19">
        <f>'Лист3 Доходы и расходы'!F46</f>
        <v>819000</v>
      </c>
      <c r="M21" s="19">
        <f>'Лист3 Доходы и расходы'!F47</f>
        <v>819000</v>
      </c>
      <c r="P21" s="145">
        <f>SUM(B21:O21)</f>
        <v>9009000</v>
      </c>
    </row>
    <row r="22" spans="1:16" ht="16.5" thickBot="1" x14ac:dyDescent="0.3">
      <c r="A22" s="17" t="s">
        <v>133</v>
      </c>
      <c r="B22" s="19">
        <f>26*250*'Лист3 Доходы и расходы'!C36</f>
        <v>325000</v>
      </c>
      <c r="C22" s="19">
        <f>26*250*'Лист3 Доходы и расходы'!C37</f>
        <v>325000</v>
      </c>
      <c r="D22" s="19">
        <f>26*250*'Лист3 Доходы и расходы'!C38</f>
        <v>390000</v>
      </c>
      <c r="E22" s="19">
        <f>26*250*'Лист3 Доходы и расходы'!C39</f>
        <v>390000</v>
      </c>
      <c r="F22" s="19">
        <f>26*250*'Лист3 Доходы и расходы'!C40</f>
        <v>390000</v>
      </c>
      <c r="G22" s="19">
        <f>26*250*'Лист3 Доходы и расходы'!C41</f>
        <v>455000</v>
      </c>
      <c r="H22" s="19">
        <f>26*250*'Лист3 Доходы и расходы'!C42</f>
        <v>455000</v>
      </c>
      <c r="I22" s="19">
        <f>26*250*'Лист3 Доходы и расходы'!C43</f>
        <v>455000</v>
      </c>
      <c r="J22" s="19">
        <f>26*250*'Лист3 Доходы и расходы'!C44</f>
        <v>455000</v>
      </c>
      <c r="K22" s="19">
        <f>26*250*'Лист3 Доходы и расходы'!C45</f>
        <v>455000</v>
      </c>
      <c r="L22" s="19">
        <f>26*250*'Лист3 Доходы и расходы'!C46</f>
        <v>455000</v>
      </c>
      <c r="M22" s="19">
        <f>26*250*'Лист3 Доходы и расходы'!C47</f>
        <v>455000</v>
      </c>
    </row>
    <row r="23" spans="1:16" ht="16.5" thickBot="1" x14ac:dyDescent="0.3">
      <c r="A23" s="17" t="s">
        <v>122</v>
      </c>
      <c r="B23" s="19">
        <f>B21-B22</f>
        <v>260000</v>
      </c>
      <c r="C23" s="19">
        <f t="shared" ref="C23:M23" si="5">C21-C22</f>
        <v>260000</v>
      </c>
      <c r="D23" s="19">
        <f t="shared" si="5"/>
        <v>312000</v>
      </c>
      <c r="E23" s="19">
        <f t="shared" si="5"/>
        <v>312000</v>
      </c>
      <c r="F23" s="19">
        <f t="shared" si="5"/>
        <v>312000</v>
      </c>
      <c r="G23" s="19">
        <f t="shared" si="5"/>
        <v>364000</v>
      </c>
      <c r="H23" s="19">
        <f t="shared" si="5"/>
        <v>364000</v>
      </c>
      <c r="I23" s="19">
        <f t="shared" si="5"/>
        <v>364000</v>
      </c>
      <c r="J23" s="19">
        <f t="shared" si="5"/>
        <v>364000</v>
      </c>
      <c r="K23" s="19">
        <f t="shared" si="5"/>
        <v>364000</v>
      </c>
      <c r="L23" s="19">
        <f t="shared" si="5"/>
        <v>364000</v>
      </c>
      <c r="M23" s="19">
        <f t="shared" si="5"/>
        <v>364000</v>
      </c>
    </row>
    <row r="24" spans="1:16" ht="32.25" thickBot="1" x14ac:dyDescent="0.3">
      <c r="A24" s="17" t="s">
        <v>134</v>
      </c>
      <c r="B24" s="19">
        <f>'Лист7 Прогнозный баланс '!B32</f>
        <v>87546.8</v>
      </c>
      <c r="C24" s="19">
        <f>'Лист7 Прогнозный баланс '!C32</f>
        <v>87546.8</v>
      </c>
      <c r="D24" s="19">
        <f>'Лист7 Прогнозный баланс '!D32</f>
        <v>87546.8</v>
      </c>
      <c r="E24" s="19">
        <f>'Лист7 Прогнозный баланс '!E32</f>
        <v>87546.8</v>
      </c>
      <c r="F24" s="19">
        <f>'Лист7 Прогнозный баланс '!F32</f>
        <v>87546.8</v>
      </c>
      <c r="G24" s="19">
        <f>'Лист7 Прогнозный баланс '!G32</f>
        <v>87546.8</v>
      </c>
      <c r="H24" s="19">
        <f>'Лист7 Прогнозный баланс '!H32</f>
        <v>87546.8</v>
      </c>
      <c r="I24" s="19">
        <f>'Лист7 Прогнозный баланс '!I32</f>
        <v>87546.8</v>
      </c>
      <c r="J24" s="19">
        <f>'Лист7 Прогнозный баланс '!J32</f>
        <v>87546.8</v>
      </c>
      <c r="K24" s="19">
        <f>'Лист7 Прогнозный баланс '!K32</f>
        <v>87546.8</v>
      </c>
      <c r="L24" s="19">
        <f>'Лист7 Прогнозный баланс '!L32</f>
        <v>87546.8</v>
      </c>
      <c r="M24" s="19">
        <f>'Лист7 Прогнозный баланс '!M32</f>
        <v>87546.8</v>
      </c>
    </row>
    <row r="25" spans="1:16" ht="16.5" thickBot="1" x14ac:dyDescent="0.3">
      <c r="A25" s="17" t="s">
        <v>124</v>
      </c>
      <c r="B25" s="19">
        <f>'Лист7 Прогнозный баланс '!B34</f>
        <v>117000</v>
      </c>
      <c r="C25" s="19">
        <f>'Лист7 Прогнозный баланс '!C34</f>
        <v>117000</v>
      </c>
      <c r="D25" s="19">
        <f>'Лист7 Прогнозный баланс '!D34</f>
        <v>140400</v>
      </c>
      <c r="E25" s="19">
        <f>'Лист7 Прогнозный баланс '!E34</f>
        <v>140400</v>
      </c>
      <c r="F25" s="19">
        <f>'Лист7 Прогнозный баланс '!F34</f>
        <v>140400</v>
      </c>
      <c r="G25" s="19">
        <f>'Лист7 Прогнозный баланс '!G34</f>
        <v>163800</v>
      </c>
      <c r="H25" s="19">
        <f>'Лист7 Прогнозный баланс '!H34</f>
        <v>163800</v>
      </c>
      <c r="I25" s="19">
        <f>'Лист7 Прогнозный баланс '!I34</f>
        <v>163800</v>
      </c>
      <c r="J25" s="19">
        <f>'Лист7 Прогнозный баланс '!J34</f>
        <v>163800</v>
      </c>
      <c r="K25" s="19">
        <f>'Лист7 Прогнозный баланс '!K34</f>
        <v>163800</v>
      </c>
      <c r="L25" s="19">
        <f>'Лист7 Прогнозный баланс '!L34</f>
        <v>163800</v>
      </c>
      <c r="M25" s="19">
        <f>'Лист7 Прогнозный баланс '!M34</f>
        <v>163800</v>
      </c>
    </row>
    <row r="26" spans="1:16" ht="16.5" thickBot="1" x14ac:dyDescent="0.3">
      <c r="A26" s="17" t="s">
        <v>125</v>
      </c>
      <c r="B26" s="19">
        <f>B23-B24-B25</f>
        <v>55453.200000000012</v>
      </c>
      <c r="C26" s="19">
        <f t="shared" ref="C26:M26" si="6">C23-C24-C25</f>
        <v>55453.200000000012</v>
      </c>
      <c r="D26" s="19">
        <f t="shared" si="6"/>
        <v>84053.200000000012</v>
      </c>
      <c r="E26" s="19">
        <f t="shared" si="6"/>
        <v>84053.200000000012</v>
      </c>
      <c r="F26" s="19">
        <f t="shared" si="6"/>
        <v>84053.200000000012</v>
      </c>
      <c r="G26" s="19">
        <f t="shared" si="6"/>
        <v>112653.20000000001</v>
      </c>
      <c r="H26" s="19">
        <f t="shared" si="6"/>
        <v>112653.20000000001</v>
      </c>
      <c r="I26" s="19">
        <f t="shared" si="6"/>
        <v>112653.20000000001</v>
      </c>
      <c r="J26" s="19">
        <f t="shared" si="6"/>
        <v>112653.20000000001</v>
      </c>
      <c r="K26" s="19">
        <f t="shared" si="6"/>
        <v>112653.20000000001</v>
      </c>
      <c r="L26" s="19">
        <f t="shared" si="6"/>
        <v>112653.20000000001</v>
      </c>
      <c r="M26" s="19">
        <f t="shared" si="6"/>
        <v>112653.20000000001</v>
      </c>
    </row>
    <row r="27" spans="1:16" ht="16.5" thickBot="1" x14ac:dyDescent="0.3">
      <c r="A27" s="17" t="s">
        <v>112</v>
      </c>
      <c r="B27" s="19">
        <f>'Лист7 Прогнозный баланс '!B36</f>
        <v>21053</v>
      </c>
      <c r="C27" s="19">
        <f>'Лист7 Прогнозный баланс '!C36</f>
        <v>21053</v>
      </c>
      <c r="D27" s="19">
        <f>'Лист7 Прогнозный баланс '!D36</f>
        <v>21053</v>
      </c>
      <c r="E27" s="19">
        <f>'Лист7 Прогнозный баланс '!E36</f>
        <v>21053</v>
      </c>
      <c r="F27" s="19">
        <f>'Лист7 Прогнозный баланс '!F36</f>
        <v>21053</v>
      </c>
      <c r="G27" s="19">
        <f>'Лист7 Прогнозный баланс '!G36</f>
        <v>21053</v>
      </c>
      <c r="H27" s="19">
        <f>'Лист7 Прогнозный баланс '!H36</f>
        <v>21053</v>
      </c>
      <c r="I27" s="19">
        <f>'Лист7 Прогнозный баланс '!I36</f>
        <v>21053</v>
      </c>
      <c r="J27" s="19">
        <f>'Лист7 Прогнозный баланс '!J36</f>
        <v>21053</v>
      </c>
      <c r="K27" s="19">
        <f>'Лист7 Прогнозный баланс '!K36</f>
        <v>21053</v>
      </c>
      <c r="L27" s="19">
        <f>'Лист7 Прогнозный баланс '!L36</f>
        <v>21053</v>
      </c>
      <c r="M27" s="19">
        <f>'Лист7 Прогнозный баланс '!M36</f>
        <v>21053</v>
      </c>
    </row>
    <row r="28" spans="1:16" ht="32.25" thickBot="1" x14ac:dyDescent="0.3">
      <c r="A28" s="17" t="s">
        <v>135</v>
      </c>
      <c r="B28" s="19">
        <f>'Лист7 Прогнозный баланс '!B35</f>
        <v>5661.7</v>
      </c>
      <c r="C28" s="19">
        <f>'Лист7 Прогнозный баланс '!C35</f>
        <v>5661.7</v>
      </c>
      <c r="D28" s="19">
        <f>'Лист7 Прогнозный баланс '!D35</f>
        <v>5661.7</v>
      </c>
      <c r="E28" s="19">
        <f>'Лист7 Прогнозный баланс '!E35</f>
        <v>5661.7</v>
      </c>
      <c r="F28" s="19">
        <f>'Лист7 Прогнозный баланс '!F35</f>
        <v>5661.7</v>
      </c>
      <c r="G28" s="19">
        <f>'Лист7 Прогнозный баланс '!G35</f>
        <v>5661.7</v>
      </c>
      <c r="H28" s="19">
        <f>'Лист7 Прогнозный баланс '!H35</f>
        <v>5661.7</v>
      </c>
      <c r="I28" s="19">
        <f>'Лист7 Прогнозный баланс '!I35</f>
        <v>5661.7</v>
      </c>
      <c r="J28" s="19">
        <f>'Лист7 Прогнозный баланс '!J35</f>
        <v>5661.7</v>
      </c>
      <c r="K28" s="19">
        <f>'Лист7 Прогнозный баланс '!K35</f>
        <v>5661.7</v>
      </c>
      <c r="L28" s="19">
        <f>'Лист7 Прогнозный баланс '!L35</f>
        <v>5661.7</v>
      </c>
      <c r="M28" s="19">
        <f>'Лист7 Прогнозный баланс '!M35</f>
        <v>5661.7</v>
      </c>
    </row>
    <row r="29" spans="1:16" ht="16.5" thickBot="1" x14ac:dyDescent="0.3">
      <c r="A29" s="17" t="s">
        <v>131</v>
      </c>
      <c r="B29" s="19">
        <f>B21*0.06</f>
        <v>35100</v>
      </c>
      <c r="C29" s="19">
        <f t="shared" ref="C29:M29" si="7">C21*0.06</f>
        <v>35100</v>
      </c>
      <c r="D29" s="19">
        <f t="shared" si="7"/>
        <v>42120</v>
      </c>
      <c r="E29" s="19">
        <f t="shared" si="7"/>
        <v>42120</v>
      </c>
      <c r="F29" s="19">
        <f t="shared" si="7"/>
        <v>42120</v>
      </c>
      <c r="G29" s="19">
        <f t="shared" si="7"/>
        <v>49140</v>
      </c>
      <c r="H29" s="19">
        <f t="shared" si="7"/>
        <v>49140</v>
      </c>
      <c r="I29" s="19">
        <f t="shared" si="7"/>
        <v>49140</v>
      </c>
      <c r="J29" s="19">
        <f t="shared" si="7"/>
        <v>49140</v>
      </c>
      <c r="K29" s="19">
        <f t="shared" si="7"/>
        <v>49140</v>
      </c>
      <c r="L29" s="19">
        <f t="shared" si="7"/>
        <v>49140</v>
      </c>
      <c r="M29" s="19">
        <f t="shared" si="7"/>
        <v>49140</v>
      </c>
    </row>
    <row r="30" spans="1:16" ht="16.5" thickBot="1" x14ac:dyDescent="0.3">
      <c r="A30" s="17" t="s">
        <v>130</v>
      </c>
      <c r="B30" s="35">
        <f>B21-B22-B24-B25-B27-B28-B29</f>
        <v>-6361.4999999999891</v>
      </c>
      <c r="C30" s="35">
        <f t="shared" ref="C30:M30" si="8">C21-C22-C24-C25-C27-C28-C29</f>
        <v>-6361.4999999999891</v>
      </c>
      <c r="D30" s="35">
        <f t="shared" si="8"/>
        <v>15218.500000000015</v>
      </c>
      <c r="E30" s="35">
        <f t="shared" si="8"/>
        <v>15218.500000000015</v>
      </c>
      <c r="F30" s="35">
        <f t="shared" si="8"/>
        <v>15218.500000000015</v>
      </c>
      <c r="G30" s="35">
        <f t="shared" si="8"/>
        <v>36798.500000000015</v>
      </c>
      <c r="H30" s="35">
        <f t="shared" si="8"/>
        <v>36798.500000000015</v>
      </c>
      <c r="I30" s="35">
        <f t="shared" si="8"/>
        <v>36798.500000000015</v>
      </c>
      <c r="J30" s="35">
        <f t="shared" si="8"/>
        <v>36798.500000000015</v>
      </c>
      <c r="K30" s="35">
        <f t="shared" si="8"/>
        <v>36798.500000000015</v>
      </c>
      <c r="L30" s="35">
        <f t="shared" si="8"/>
        <v>36798.500000000015</v>
      </c>
      <c r="M30" s="35">
        <f t="shared" si="8"/>
        <v>36798.500000000015</v>
      </c>
      <c r="P30">
        <f>SUM(B30:O30)</f>
        <v>290522.00000000012</v>
      </c>
    </row>
    <row r="31" spans="1:16" ht="32.25" thickBot="1" x14ac:dyDescent="0.3">
      <c r="A31" s="140" t="s">
        <v>416</v>
      </c>
      <c r="B31" s="139">
        <f>B26-B27-B28</f>
        <v>28738.500000000011</v>
      </c>
      <c r="C31" s="139">
        <f t="shared" ref="C31:M31" si="9">C26-C27-C28</f>
        <v>28738.500000000011</v>
      </c>
      <c r="D31" s="139">
        <f t="shared" si="9"/>
        <v>57338.500000000015</v>
      </c>
      <c r="E31" s="139">
        <f t="shared" si="9"/>
        <v>57338.500000000015</v>
      </c>
      <c r="F31" s="139">
        <f t="shared" si="9"/>
        <v>57338.500000000015</v>
      </c>
      <c r="G31" s="139">
        <f t="shared" si="9"/>
        <v>85938.500000000015</v>
      </c>
      <c r="H31" s="139">
        <f t="shared" si="9"/>
        <v>85938.500000000015</v>
      </c>
      <c r="I31" s="139">
        <f t="shared" si="9"/>
        <v>85938.500000000015</v>
      </c>
      <c r="J31" s="139">
        <f t="shared" si="9"/>
        <v>85938.500000000015</v>
      </c>
      <c r="K31" s="139">
        <f t="shared" si="9"/>
        <v>85938.500000000015</v>
      </c>
      <c r="L31" s="139">
        <f t="shared" si="9"/>
        <v>85938.500000000015</v>
      </c>
      <c r="M31" s="139">
        <f t="shared" si="9"/>
        <v>85938.500000000015</v>
      </c>
    </row>
    <row r="32" spans="1:16" ht="16.149999999999999" thickBot="1" x14ac:dyDescent="0.35">
      <c r="A32" s="142">
        <v>0.15</v>
      </c>
      <c r="B32" s="139">
        <f>B31*0.15</f>
        <v>4310.7750000000015</v>
      </c>
      <c r="C32" s="139">
        <f t="shared" ref="C32:M32" si="10">C31*0.15</f>
        <v>4310.7750000000015</v>
      </c>
      <c r="D32" s="139">
        <f t="shared" si="10"/>
        <v>8600.7750000000015</v>
      </c>
      <c r="E32" s="139">
        <f t="shared" si="10"/>
        <v>8600.7750000000015</v>
      </c>
      <c r="F32" s="139">
        <f t="shared" si="10"/>
        <v>8600.7750000000015</v>
      </c>
      <c r="G32" s="139">
        <f t="shared" si="10"/>
        <v>12890.775000000001</v>
      </c>
      <c r="H32" s="139">
        <f t="shared" si="10"/>
        <v>12890.775000000001</v>
      </c>
      <c r="I32" s="139">
        <f t="shared" si="10"/>
        <v>12890.775000000001</v>
      </c>
      <c r="J32" s="139">
        <f t="shared" si="10"/>
        <v>12890.775000000001</v>
      </c>
      <c r="K32" s="139">
        <f t="shared" si="10"/>
        <v>12890.775000000001</v>
      </c>
      <c r="L32" s="139">
        <f t="shared" si="10"/>
        <v>12890.775000000001</v>
      </c>
      <c r="M32" s="139">
        <f t="shared" si="10"/>
        <v>12890.775000000001</v>
      </c>
    </row>
    <row r="34" spans="1:16" ht="16.5" thickBot="1" x14ac:dyDescent="0.3">
      <c r="A34" s="198" t="s">
        <v>418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</row>
    <row r="35" spans="1:16" ht="16.5" thickBot="1" x14ac:dyDescent="0.3">
      <c r="A35" s="14" t="s">
        <v>132</v>
      </c>
      <c r="B35" s="16" t="s">
        <v>58</v>
      </c>
      <c r="C35" s="16" t="s">
        <v>42</v>
      </c>
      <c r="D35" s="16" t="s">
        <v>43</v>
      </c>
      <c r="E35" s="16" t="s">
        <v>44</v>
      </c>
      <c r="F35" s="16" t="s">
        <v>45</v>
      </c>
      <c r="G35" s="16" t="s">
        <v>59</v>
      </c>
      <c r="H35" s="16" t="s">
        <v>60</v>
      </c>
      <c r="I35" s="16" t="s">
        <v>61</v>
      </c>
      <c r="J35" s="16" t="s">
        <v>62</v>
      </c>
      <c r="K35" s="16" t="s">
        <v>63</v>
      </c>
      <c r="L35" s="16" t="s">
        <v>51</v>
      </c>
      <c r="M35" s="16" t="s">
        <v>64</v>
      </c>
    </row>
    <row r="36" spans="1:16" ht="16.5" thickBot="1" x14ac:dyDescent="0.3">
      <c r="A36" s="17" t="s">
        <v>105</v>
      </c>
      <c r="B36" s="19">
        <f>'Лист3 Доходы и расходы'!G36</f>
        <v>819000</v>
      </c>
      <c r="C36" s="19">
        <f>'Лист3 Доходы и расходы'!G37</f>
        <v>819000</v>
      </c>
      <c r="D36" s="19">
        <f>'Лист3 Доходы и расходы'!G38</f>
        <v>819000</v>
      </c>
      <c r="E36" s="19">
        <f>'Лист3 Доходы и расходы'!G39</f>
        <v>819000</v>
      </c>
      <c r="F36" s="19">
        <f>'Лист3 Доходы и расходы'!G40</f>
        <v>819000</v>
      </c>
      <c r="G36" s="19">
        <f>'Лист3 Доходы и расходы'!G41</f>
        <v>819000</v>
      </c>
      <c r="H36" s="19">
        <f>'Лист3 Доходы и расходы'!G42</f>
        <v>819000</v>
      </c>
      <c r="I36" s="19">
        <f>'Лист3 Доходы и расходы'!G43</f>
        <v>819000</v>
      </c>
      <c r="J36" s="19">
        <f>'Лист3 Доходы и расходы'!G44</f>
        <v>819000</v>
      </c>
      <c r="K36" s="19">
        <f>'Лист3 Доходы и расходы'!G45</f>
        <v>819000</v>
      </c>
      <c r="L36" s="19">
        <f>'Лист3 Доходы и расходы'!G46</f>
        <v>819000</v>
      </c>
      <c r="M36" s="19">
        <f>'Лист3 Доходы и расходы'!G47</f>
        <v>819000</v>
      </c>
      <c r="P36" s="145">
        <f>SUM(B36:O36)</f>
        <v>9828000</v>
      </c>
    </row>
    <row r="37" spans="1:16" ht="16.5" thickBot="1" x14ac:dyDescent="0.3">
      <c r="A37" s="17" t="s">
        <v>133</v>
      </c>
      <c r="B37" s="19">
        <f>26*250*'Лист3 Доходы и расходы'!D36</f>
        <v>455000</v>
      </c>
      <c r="C37" s="19">
        <f>26*250*'Лист3 Доходы и расходы'!D37</f>
        <v>455000</v>
      </c>
      <c r="D37" s="19">
        <f>26*250*'Лист3 Доходы и расходы'!D38</f>
        <v>455000</v>
      </c>
      <c r="E37" s="19">
        <f>26*250*'Лист3 Доходы и расходы'!D39</f>
        <v>455000</v>
      </c>
      <c r="F37" s="19">
        <f>26*250*'Лист3 Доходы и расходы'!D40</f>
        <v>455000</v>
      </c>
      <c r="G37" s="19">
        <f>26*250*'Лист3 Доходы и расходы'!D41</f>
        <v>455000</v>
      </c>
      <c r="H37" s="19">
        <f>26*250*'Лист3 Доходы и расходы'!D42</f>
        <v>455000</v>
      </c>
      <c r="I37" s="19">
        <f>26*250*'Лист3 Доходы и расходы'!D43</f>
        <v>455000</v>
      </c>
      <c r="J37" s="19">
        <f>26*250*'Лист3 Доходы и расходы'!D44</f>
        <v>455000</v>
      </c>
      <c r="K37" s="19">
        <f>26*250*'Лист3 Доходы и расходы'!D45</f>
        <v>455000</v>
      </c>
      <c r="L37" s="19">
        <f>26*250*'Лист3 Доходы и расходы'!D46</f>
        <v>455000</v>
      </c>
      <c r="M37" s="19">
        <f>26*250*'Лист3 Доходы и расходы'!D47</f>
        <v>455000</v>
      </c>
    </row>
    <row r="38" spans="1:16" ht="16.5" thickBot="1" x14ac:dyDescent="0.3">
      <c r="A38" s="17" t="s">
        <v>122</v>
      </c>
      <c r="B38" s="19">
        <f>B36-B37</f>
        <v>364000</v>
      </c>
      <c r="C38" s="19">
        <f t="shared" ref="C38:M38" si="11">C36-C37</f>
        <v>364000</v>
      </c>
      <c r="D38" s="19">
        <f t="shared" si="11"/>
        <v>364000</v>
      </c>
      <c r="E38" s="19">
        <f t="shared" si="11"/>
        <v>364000</v>
      </c>
      <c r="F38" s="19">
        <f t="shared" si="11"/>
        <v>364000</v>
      </c>
      <c r="G38" s="19">
        <f t="shared" si="11"/>
        <v>364000</v>
      </c>
      <c r="H38" s="19">
        <f t="shared" si="11"/>
        <v>364000</v>
      </c>
      <c r="I38" s="19">
        <f t="shared" si="11"/>
        <v>364000</v>
      </c>
      <c r="J38" s="19">
        <f t="shared" si="11"/>
        <v>364000</v>
      </c>
      <c r="K38" s="19">
        <f t="shared" si="11"/>
        <v>364000</v>
      </c>
      <c r="L38" s="19">
        <f t="shared" si="11"/>
        <v>364000</v>
      </c>
      <c r="M38" s="19">
        <f t="shared" si="11"/>
        <v>364000</v>
      </c>
    </row>
    <row r="39" spans="1:16" ht="32.25" thickBot="1" x14ac:dyDescent="0.3">
      <c r="A39" s="17" t="s">
        <v>134</v>
      </c>
      <c r="B39" s="19">
        <f>'Лист7 Прогнозный баланс '!B52</f>
        <v>87546.8</v>
      </c>
      <c r="C39" s="19">
        <f>'Лист7 Прогнозный баланс '!C52</f>
        <v>87546.8</v>
      </c>
      <c r="D39" s="19">
        <f>'Лист7 Прогнозный баланс '!D52</f>
        <v>87546.8</v>
      </c>
      <c r="E39" s="19">
        <f>'Лист7 Прогнозный баланс '!E52</f>
        <v>87546.8</v>
      </c>
      <c r="F39" s="19">
        <f>'Лист7 Прогнозный баланс '!F52</f>
        <v>87546.8</v>
      </c>
      <c r="G39" s="19">
        <f>'Лист7 Прогнозный баланс '!G52</f>
        <v>87546.8</v>
      </c>
      <c r="H39" s="19">
        <f>'Лист7 Прогнозный баланс '!H52</f>
        <v>87546.8</v>
      </c>
      <c r="I39" s="19">
        <f>'Лист7 Прогнозный баланс '!I52</f>
        <v>87546.8</v>
      </c>
      <c r="J39" s="19">
        <f>'Лист7 Прогнозный баланс '!J52</f>
        <v>87546.8</v>
      </c>
      <c r="K39" s="19">
        <f>'Лист7 Прогнозный баланс '!K52</f>
        <v>87546.8</v>
      </c>
      <c r="L39" s="19">
        <f>'Лист7 Прогнозный баланс '!L52</f>
        <v>87546.8</v>
      </c>
      <c r="M39" s="19">
        <f>'Лист7 Прогнозный баланс '!M52</f>
        <v>87546.8</v>
      </c>
    </row>
    <row r="40" spans="1:16" ht="16.5" thickBot="1" x14ac:dyDescent="0.3">
      <c r="A40" s="17" t="s">
        <v>124</v>
      </c>
      <c r="B40" s="19">
        <f>'Лист7 Прогнозный баланс '!B54</f>
        <v>163800</v>
      </c>
      <c r="C40" s="19">
        <f>'Лист7 Прогнозный баланс '!C54</f>
        <v>163800</v>
      </c>
      <c r="D40" s="19">
        <f>'Лист7 Прогнозный баланс '!D54</f>
        <v>163800</v>
      </c>
      <c r="E40" s="19">
        <f>'Лист7 Прогнозный баланс '!E54</f>
        <v>163800</v>
      </c>
      <c r="F40" s="19">
        <f>'Лист7 Прогнозный баланс '!F54</f>
        <v>163800</v>
      </c>
      <c r="G40" s="19">
        <f>'Лист7 Прогнозный баланс '!G54</f>
        <v>163800</v>
      </c>
      <c r="H40" s="19">
        <f>'Лист7 Прогнозный баланс '!H54</f>
        <v>163800</v>
      </c>
      <c r="I40" s="19">
        <f>'Лист7 Прогнозный баланс '!I54</f>
        <v>163800</v>
      </c>
      <c r="J40" s="19">
        <f>'Лист7 Прогнозный баланс '!J54</f>
        <v>163800</v>
      </c>
      <c r="K40" s="19">
        <f>'Лист7 Прогнозный баланс '!K54</f>
        <v>163800</v>
      </c>
      <c r="L40" s="19">
        <f>'Лист7 Прогнозный баланс '!L54</f>
        <v>163800</v>
      </c>
      <c r="M40" s="19">
        <f>'Лист7 Прогнозный баланс '!M54</f>
        <v>163800</v>
      </c>
    </row>
    <row r="41" spans="1:16" ht="16.5" thickBot="1" x14ac:dyDescent="0.3">
      <c r="A41" s="17" t="s">
        <v>125</v>
      </c>
      <c r="B41" s="19">
        <f>B38-B39-B40</f>
        <v>112653.20000000001</v>
      </c>
      <c r="C41" s="19">
        <f t="shared" ref="C41:M41" si="12">C38-C39-C40</f>
        <v>112653.20000000001</v>
      </c>
      <c r="D41" s="19">
        <f t="shared" si="12"/>
        <v>112653.20000000001</v>
      </c>
      <c r="E41" s="19">
        <f t="shared" si="12"/>
        <v>112653.20000000001</v>
      </c>
      <c r="F41" s="19">
        <f t="shared" si="12"/>
        <v>112653.20000000001</v>
      </c>
      <c r="G41" s="19">
        <f t="shared" si="12"/>
        <v>112653.20000000001</v>
      </c>
      <c r="H41" s="19">
        <f t="shared" si="12"/>
        <v>112653.20000000001</v>
      </c>
      <c r="I41" s="19">
        <f t="shared" si="12"/>
        <v>112653.20000000001</v>
      </c>
      <c r="J41" s="19">
        <f t="shared" si="12"/>
        <v>112653.20000000001</v>
      </c>
      <c r="K41" s="19">
        <f t="shared" si="12"/>
        <v>112653.20000000001</v>
      </c>
      <c r="L41" s="19">
        <f t="shared" si="12"/>
        <v>112653.20000000001</v>
      </c>
      <c r="M41" s="19">
        <f t="shared" si="12"/>
        <v>112653.20000000001</v>
      </c>
    </row>
    <row r="42" spans="1:16" ht="16.5" thickBot="1" x14ac:dyDescent="0.3">
      <c r="A42" s="17" t="s">
        <v>112</v>
      </c>
      <c r="B42" s="19">
        <f>'Лист7 Прогнозный баланс '!B56</f>
        <v>21053</v>
      </c>
      <c r="C42" s="19">
        <f>'Лист7 Прогнозный баланс '!C56</f>
        <v>21053</v>
      </c>
      <c r="D42" s="19">
        <f>'Лист7 Прогнозный баланс '!D56</f>
        <v>21053</v>
      </c>
      <c r="E42" s="19">
        <f>'Лист7 Прогнозный баланс '!E56</f>
        <v>21053</v>
      </c>
      <c r="F42" s="19">
        <f>'Лист7 Прогнозный баланс '!F56</f>
        <v>21053</v>
      </c>
      <c r="G42" s="19">
        <f>'Лист7 Прогнозный баланс '!G56</f>
        <v>21053</v>
      </c>
      <c r="H42" s="19">
        <f>'Лист7 Прогнозный баланс '!H56</f>
        <v>21053</v>
      </c>
      <c r="I42" s="19">
        <f>'Лист7 Прогнозный баланс '!I56</f>
        <v>21053</v>
      </c>
      <c r="J42" s="19">
        <f>'Лист7 Прогнозный баланс '!J56</f>
        <v>21053</v>
      </c>
      <c r="K42" s="19">
        <f>'Лист7 Прогнозный баланс '!K56</f>
        <v>21053</v>
      </c>
      <c r="L42" s="19">
        <f>'Лист7 Прогнозный баланс '!L56</f>
        <v>21053</v>
      </c>
      <c r="M42" s="19">
        <f>'Лист7 Прогнозный баланс '!M56</f>
        <v>21053</v>
      </c>
    </row>
    <row r="43" spans="1:16" ht="32.25" thickBot="1" x14ac:dyDescent="0.3">
      <c r="A43" s="17" t="s">
        <v>135</v>
      </c>
      <c r="B43" s="19">
        <f>'Лист7 Прогнозный баланс '!B55</f>
        <v>5661.7</v>
      </c>
      <c r="C43" s="19">
        <f>'Лист7 Прогнозный баланс '!C55</f>
        <v>5661.7</v>
      </c>
      <c r="D43" s="19">
        <f>'Лист7 Прогнозный баланс '!D55</f>
        <v>5661.7</v>
      </c>
      <c r="E43" s="19">
        <f>'Лист7 Прогнозный баланс '!E55</f>
        <v>5661.7</v>
      </c>
      <c r="F43" s="19">
        <f>'Лист7 Прогнозный баланс '!F55</f>
        <v>5661.7</v>
      </c>
      <c r="G43" s="19">
        <f>'Лист7 Прогнозный баланс '!G55</f>
        <v>5661.7</v>
      </c>
      <c r="H43" s="19">
        <f>'Лист7 Прогнозный баланс '!H55</f>
        <v>5661.7</v>
      </c>
      <c r="I43" s="19">
        <f>'Лист7 Прогнозный баланс '!I55</f>
        <v>5661.7</v>
      </c>
      <c r="J43" s="19">
        <f>'Лист7 Прогнозный баланс '!J55</f>
        <v>5661.7</v>
      </c>
      <c r="K43" s="19">
        <f>'Лист7 Прогнозный баланс '!K55</f>
        <v>5661.7</v>
      </c>
      <c r="L43" s="19">
        <f>'Лист7 Прогнозный баланс '!L55</f>
        <v>5661.7</v>
      </c>
      <c r="M43" s="19">
        <f>'Лист7 Прогнозный баланс '!M55</f>
        <v>5661.7</v>
      </c>
    </row>
    <row r="44" spans="1:16" ht="16.5" thickBot="1" x14ac:dyDescent="0.3">
      <c r="A44" s="17" t="s">
        <v>131</v>
      </c>
      <c r="B44" s="19">
        <f>B36*0.06</f>
        <v>49140</v>
      </c>
      <c r="C44" s="19">
        <f t="shared" ref="C44:M44" si="13">C36*0.06</f>
        <v>49140</v>
      </c>
      <c r="D44" s="19">
        <f t="shared" si="13"/>
        <v>49140</v>
      </c>
      <c r="E44" s="19">
        <f t="shared" si="13"/>
        <v>49140</v>
      </c>
      <c r="F44" s="19">
        <f t="shared" si="13"/>
        <v>49140</v>
      </c>
      <c r="G44" s="19">
        <f t="shared" si="13"/>
        <v>49140</v>
      </c>
      <c r="H44" s="19">
        <f t="shared" si="13"/>
        <v>49140</v>
      </c>
      <c r="I44" s="19">
        <f t="shared" si="13"/>
        <v>49140</v>
      </c>
      <c r="J44" s="19">
        <f t="shared" si="13"/>
        <v>49140</v>
      </c>
      <c r="K44" s="19">
        <f t="shared" si="13"/>
        <v>49140</v>
      </c>
      <c r="L44" s="19">
        <f t="shared" si="13"/>
        <v>49140</v>
      </c>
      <c r="M44" s="19">
        <f t="shared" si="13"/>
        <v>49140</v>
      </c>
    </row>
    <row r="45" spans="1:16" ht="16.5" thickBot="1" x14ac:dyDescent="0.3">
      <c r="A45" s="34" t="s">
        <v>130</v>
      </c>
      <c r="B45" s="35">
        <f>B36-B37-B39-B40-B42-B43-B44</f>
        <v>36798.500000000015</v>
      </c>
      <c r="C45" s="35">
        <f t="shared" ref="C45:M45" si="14">C36-C37-C39-C40-C42-C43-C44</f>
        <v>36798.500000000015</v>
      </c>
      <c r="D45" s="35">
        <f t="shared" si="14"/>
        <v>36798.500000000015</v>
      </c>
      <c r="E45" s="35">
        <f t="shared" si="14"/>
        <v>36798.500000000015</v>
      </c>
      <c r="F45" s="35">
        <f t="shared" si="14"/>
        <v>36798.500000000015</v>
      </c>
      <c r="G45" s="35">
        <f t="shared" si="14"/>
        <v>36798.500000000015</v>
      </c>
      <c r="H45" s="35">
        <f t="shared" si="14"/>
        <v>36798.500000000015</v>
      </c>
      <c r="I45" s="35">
        <f t="shared" si="14"/>
        <v>36798.500000000015</v>
      </c>
      <c r="J45" s="35">
        <f t="shared" si="14"/>
        <v>36798.500000000015</v>
      </c>
      <c r="K45" s="35">
        <f t="shared" si="14"/>
        <v>36798.500000000015</v>
      </c>
      <c r="L45" s="35">
        <f t="shared" si="14"/>
        <v>36798.500000000015</v>
      </c>
      <c r="M45" s="35">
        <f t="shared" si="14"/>
        <v>36798.500000000015</v>
      </c>
      <c r="P45">
        <f>SUM(B45:O45)</f>
        <v>441582.00000000006</v>
      </c>
    </row>
    <row r="46" spans="1:16" ht="16.5" thickBot="1" x14ac:dyDescent="0.3">
      <c r="A46" s="34" t="s">
        <v>128</v>
      </c>
      <c r="B46" s="143">
        <f>B41-B42-B43</f>
        <v>85938.500000000015</v>
      </c>
      <c r="C46" s="143">
        <f t="shared" ref="C46:M46" si="15">C41-C42-C43</f>
        <v>85938.500000000015</v>
      </c>
      <c r="D46" s="143">
        <f t="shared" si="15"/>
        <v>85938.500000000015</v>
      </c>
      <c r="E46" s="143">
        <f t="shared" si="15"/>
        <v>85938.500000000015</v>
      </c>
      <c r="F46" s="143">
        <f t="shared" si="15"/>
        <v>85938.500000000015</v>
      </c>
      <c r="G46" s="143">
        <f t="shared" si="15"/>
        <v>85938.500000000015</v>
      </c>
      <c r="H46" s="143">
        <f t="shared" si="15"/>
        <v>85938.500000000015</v>
      </c>
      <c r="I46" s="143">
        <f t="shared" si="15"/>
        <v>85938.500000000015</v>
      </c>
      <c r="J46" s="143">
        <f t="shared" si="15"/>
        <v>85938.500000000015</v>
      </c>
      <c r="K46" s="143">
        <f t="shared" si="15"/>
        <v>85938.500000000015</v>
      </c>
      <c r="L46" s="143">
        <f t="shared" si="15"/>
        <v>85938.500000000015</v>
      </c>
      <c r="M46" s="143">
        <f t="shared" si="15"/>
        <v>85938.500000000015</v>
      </c>
    </row>
    <row r="47" spans="1:16" ht="16.149999999999999" thickBot="1" x14ac:dyDescent="0.35">
      <c r="A47" s="144">
        <v>0.15</v>
      </c>
      <c r="B47" s="143">
        <f>B46*0.15</f>
        <v>12890.775000000001</v>
      </c>
      <c r="C47" s="143">
        <f t="shared" ref="C47:M47" si="16">C46*0.15</f>
        <v>12890.775000000001</v>
      </c>
      <c r="D47" s="143">
        <f t="shared" si="16"/>
        <v>12890.775000000001</v>
      </c>
      <c r="E47" s="143">
        <f t="shared" si="16"/>
        <v>12890.775000000001</v>
      </c>
      <c r="F47" s="143">
        <f t="shared" si="16"/>
        <v>12890.775000000001</v>
      </c>
      <c r="G47" s="143">
        <f t="shared" si="16"/>
        <v>12890.775000000001</v>
      </c>
      <c r="H47" s="143">
        <f t="shared" si="16"/>
        <v>12890.775000000001</v>
      </c>
      <c r="I47" s="143">
        <f t="shared" si="16"/>
        <v>12890.775000000001</v>
      </c>
      <c r="J47" s="143">
        <f t="shared" si="16"/>
        <v>12890.775000000001</v>
      </c>
      <c r="K47" s="143">
        <f t="shared" si="16"/>
        <v>12890.775000000001</v>
      </c>
      <c r="L47" s="143">
        <f t="shared" si="16"/>
        <v>12890.775000000001</v>
      </c>
      <c r="M47" s="143">
        <f t="shared" si="16"/>
        <v>12890.775000000001</v>
      </c>
    </row>
  </sheetData>
  <mergeCells count="4">
    <mergeCell ref="A1:R1"/>
    <mergeCell ref="A5:N5"/>
    <mergeCell ref="A19:M19"/>
    <mergeCell ref="A34:M34"/>
  </mergeCells>
  <phoneticPr fontId="16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A7" workbookViewId="0">
      <selection sqref="A1:N1"/>
    </sheetView>
  </sheetViews>
  <sheetFormatPr defaultRowHeight="15" x14ac:dyDescent="0.25"/>
  <sheetData>
    <row r="1" spans="1:14" ht="15.75" x14ac:dyDescent="0.25">
      <c r="A1" s="210" t="s">
        <v>136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 1 - Данные для расчета</vt:lpstr>
      <vt:lpstr>Лист 2 - Расчет инвестиционного</vt:lpstr>
      <vt:lpstr>Лист3 Доходы и расходы</vt:lpstr>
      <vt:lpstr>Лист4 Себестоимость</vt:lpstr>
      <vt:lpstr>Лист5 Факт </vt:lpstr>
      <vt:lpstr>Лист6 Фактический баланс</vt:lpstr>
      <vt:lpstr>Лист7 Прогнозный баланс </vt:lpstr>
      <vt:lpstr>Лист8</vt:lpstr>
      <vt:lpstr>Лист9</vt:lpstr>
      <vt:lpstr>Лист10 Показатели деятельности 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2020-02-12T17:03:28Z</dcterms:created>
  <dcterms:modified xsi:type="dcterms:W3CDTF">2022-04-21T06:39:15Z</dcterms:modified>
</cp:coreProperties>
</file>